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Users\SKrausen\Website_Postings\2023-01-13\"/>
    </mc:Choice>
  </mc:AlternateContent>
  <workbookProtection workbookPassword="D79C" lockStructure="1"/>
  <bookViews>
    <workbookView xWindow="165" yWindow="900" windowWidth="23250" windowHeight="9270" tabRatio="618"/>
  </bookViews>
  <sheets>
    <sheet name="Section1" sheetId="10" r:id="rId1"/>
    <sheet name="Section2" sheetId="12" r:id="rId2"/>
    <sheet name="Section3" sheetId="14" r:id="rId3"/>
    <sheet name="Section4" sheetId="19" r:id="rId4"/>
    <sheet name="Section5" sheetId="13" r:id="rId5"/>
    <sheet name="Section6" sheetId="9" r:id="rId6"/>
    <sheet name="Section7" sheetId="11" r:id="rId7"/>
    <sheet name="Section8" sheetId="3" r:id="rId8"/>
    <sheet name="Section9" sheetId="16" r:id="rId9"/>
    <sheet name="Section10" sheetId="15" r:id="rId10"/>
    <sheet name="DepreciationITCLookUp" sheetId="18" r:id="rId11"/>
    <sheet name="ProformaModel" sheetId="6" r:id="rId12"/>
    <sheet name="DropDown" sheetId="8" state="veryHidden" r:id="rId13"/>
  </sheets>
  <definedNames>
    <definedName name="DemandResource">DropDown!$B$54:$B$55</definedName>
    <definedName name="EnergyEfficiencyResource">DropDown!$B$58:$B$59</definedName>
    <definedName name="Generation">DropDown!$B$32:$B$51</definedName>
    <definedName name="ITCOnly">DropDown!$B$111:$B$113</definedName>
    <definedName name="NotTaxCreditEligible">DropDown!$B$126:$B$127</definedName>
    <definedName name="NotTaxCreditEligible2">DropDown!$B$130:$B$131</definedName>
    <definedName name="_xlnm.Print_Area" localSheetId="10">DepreciationITCLookUp!$A$1:$R$21</definedName>
    <definedName name="_xlnm.Print_Area" localSheetId="12">DropDown!$A$1:$G$159</definedName>
    <definedName name="_xlnm.Print_Area" localSheetId="11">ProformaModel!$A$1:$AM$23</definedName>
    <definedName name="_xlnm.Print_Area" localSheetId="0">Section1!$A$1:$D$29</definedName>
    <definedName name="_xlnm.Print_Area" localSheetId="9">Section10!$A$1:$D$11</definedName>
    <definedName name="_xlnm.Print_Area" localSheetId="1">Section2!$A$1:$D$24</definedName>
    <definedName name="_xlnm.Print_Area" localSheetId="2">Section3!$A$1:$D$26</definedName>
    <definedName name="_xlnm.Print_Area" localSheetId="3">Section4!$A$1:$AL$33</definedName>
    <definedName name="_xlnm.Print_Area" localSheetId="4">Section5!$A$1:$D$17</definedName>
    <definedName name="_xlnm.Print_Area" localSheetId="5">Section6!$A$1:$AM$30</definedName>
    <definedName name="_xlnm.Print_Area" localSheetId="6">Section7!$A$1:$D$16</definedName>
    <definedName name="_xlnm.Print_Area" localSheetId="7">Section8!$A$1:$AM$25</definedName>
    <definedName name="_xlnm.Print_Area" localSheetId="8">Section9!$A$1:$D$16</definedName>
    <definedName name="PTCOnly">DropDown!$B$116:$B$118</definedName>
    <definedName name="solver_adj" localSheetId="11" hidden="1">ProformaModel!#REF!</definedName>
    <definedName name="solver_adj" localSheetId="9" hidden="1">Section10!$C$7</definedName>
    <definedName name="solver_adj" localSheetId="5" hidden="1">Section6!#REF!</definedName>
    <definedName name="solver_cvg" localSheetId="11" hidden="1">0.0001</definedName>
    <definedName name="solver_cvg" localSheetId="9" hidden="1">0.0001</definedName>
    <definedName name="solver_cvg" localSheetId="5" hidden="1">0.0001</definedName>
    <definedName name="solver_drv" localSheetId="11" hidden="1">1</definedName>
    <definedName name="solver_drv" localSheetId="9" hidden="1">2</definedName>
    <definedName name="solver_drv" localSheetId="5" hidden="1">1</definedName>
    <definedName name="solver_eng" localSheetId="11" hidden="1">1</definedName>
    <definedName name="solver_eng" localSheetId="9" hidden="1">1</definedName>
    <definedName name="solver_eng" localSheetId="5" hidden="1">1</definedName>
    <definedName name="solver_est" localSheetId="11" hidden="1">1</definedName>
    <definedName name="solver_est" localSheetId="9" hidden="1">1</definedName>
    <definedName name="solver_est" localSheetId="5" hidden="1">1</definedName>
    <definedName name="solver_itr" localSheetId="11" hidden="1">2147483647</definedName>
    <definedName name="solver_itr" localSheetId="9" hidden="1">2147483647</definedName>
    <definedName name="solver_itr" localSheetId="5" hidden="1">2147483647</definedName>
    <definedName name="solver_mip" localSheetId="11" hidden="1">2147483647</definedName>
    <definedName name="solver_mip" localSheetId="9" hidden="1">2147483647</definedName>
    <definedName name="solver_mip" localSheetId="5" hidden="1">2147483647</definedName>
    <definedName name="solver_mni" localSheetId="11" hidden="1">30</definedName>
    <definedName name="solver_mni" localSheetId="9" hidden="1">30</definedName>
    <definedName name="solver_mni" localSheetId="5" hidden="1">30</definedName>
    <definedName name="solver_mrt" localSheetId="11" hidden="1">0.075</definedName>
    <definedName name="solver_mrt" localSheetId="9" hidden="1">0.075</definedName>
    <definedName name="solver_mrt" localSheetId="5" hidden="1">0.075</definedName>
    <definedName name="solver_msl" localSheetId="11" hidden="1">2</definedName>
    <definedName name="solver_msl" localSheetId="9" hidden="1">2</definedName>
    <definedName name="solver_msl" localSheetId="5" hidden="1">2</definedName>
    <definedName name="solver_neg" localSheetId="11" hidden="1">1</definedName>
    <definedName name="solver_neg" localSheetId="9" hidden="1">1</definedName>
    <definedName name="solver_neg" localSheetId="5" hidden="1">1</definedName>
    <definedName name="solver_nod" localSheetId="11" hidden="1">2147483647</definedName>
    <definedName name="solver_nod" localSheetId="9" hidden="1">2147483647</definedName>
    <definedName name="solver_nod" localSheetId="5" hidden="1">2147483647</definedName>
    <definedName name="solver_num" localSheetId="11" hidden="1">0</definedName>
    <definedName name="solver_num" localSheetId="9" hidden="1">0</definedName>
    <definedName name="solver_num" localSheetId="5" hidden="1">0</definedName>
    <definedName name="solver_nwt" localSheetId="11" hidden="1">1</definedName>
    <definedName name="solver_nwt" localSheetId="9" hidden="1">1</definedName>
    <definedName name="solver_nwt" localSheetId="5" hidden="1">1</definedName>
    <definedName name="solver_opt" localSheetId="11" hidden="1">ProformaModel!#REF!</definedName>
    <definedName name="solver_opt" localSheetId="9" hidden="1">Section10!$C$4</definedName>
    <definedName name="solver_opt" localSheetId="5" hidden="1">Section6!#REF!</definedName>
    <definedName name="solver_pre" localSheetId="11" hidden="1">0.000001</definedName>
    <definedName name="solver_pre" localSheetId="9" hidden="1">0.000001</definedName>
    <definedName name="solver_pre" localSheetId="5" hidden="1">0.000001</definedName>
    <definedName name="solver_rbv" localSheetId="11" hidden="1">1</definedName>
    <definedName name="solver_rbv" localSheetId="9" hidden="1">2</definedName>
    <definedName name="solver_rbv" localSheetId="5" hidden="1">1</definedName>
    <definedName name="solver_rlx" localSheetId="11" hidden="1">2</definedName>
    <definedName name="solver_rlx" localSheetId="9" hidden="1">2</definedName>
    <definedName name="solver_rlx" localSheetId="5" hidden="1">2</definedName>
    <definedName name="solver_rsd" localSheetId="11" hidden="1">0</definedName>
    <definedName name="solver_rsd" localSheetId="9" hidden="1">0</definedName>
    <definedName name="solver_rsd" localSheetId="5" hidden="1">0</definedName>
    <definedName name="solver_scl" localSheetId="11" hidden="1">1</definedName>
    <definedName name="solver_scl" localSheetId="9" hidden="1">2</definedName>
    <definedName name="solver_scl" localSheetId="5" hidden="1">1</definedName>
    <definedName name="solver_sho" localSheetId="11" hidden="1">2</definedName>
    <definedName name="solver_sho" localSheetId="9" hidden="1">2</definedName>
    <definedName name="solver_sho" localSheetId="5" hidden="1">2</definedName>
    <definedName name="solver_ssz" localSheetId="11" hidden="1">100</definedName>
    <definedName name="solver_ssz" localSheetId="9" hidden="1">100</definedName>
    <definedName name="solver_ssz" localSheetId="5" hidden="1">100</definedName>
    <definedName name="solver_tim" localSheetId="11" hidden="1">2147483647</definedName>
    <definedName name="solver_tim" localSheetId="9" hidden="1">2147483647</definedName>
    <definedName name="solver_tim" localSheetId="5" hidden="1">2147483647</definedName>
    <definedName name="solver_tol" localSheetId="11" hidden="1">0.01</definedName>
    <definedName name="solver_tol" localSheetId="9" hidden="1">0.01</definedName>
    <definedName name="solver_tol" localSheetId="5" hidden="1">0.01</definedName>
    <definedName name="solver_typ" localSheetId="11" hidden="1">3</definedName>
    <definedName name="solver_typ" localSheetId="9" hidden="1">3</definedName>
    <definedName name="solver_typ" localSheetId="5" hidden="1">3</definedName>
    <definedName name="solver_val" localSheetId="11" hidden="1">175</definedName>
    <definedName name="solver_val" localSheetId="9" hidden="1">0</definedName>
    <definedName name="solver_val" localSheetId="5" hidden="1">0.12</definedName>
    <definedName name="solver_ver" localSheetId="11" hidden="1">3</definedName>
    <definedName name="solver_ver" localSheetId="9" hidden="1">3</definedName>
    <definedName name="solver_ver" localSheetId="5" hidden="1">3</definedName>
    <definedName name="TaxCreditEligible">DropDown!$B$105:$B$108</definedName>
    <definedName name="TaxCreditEligible2">DropDown!$B$121:$B$123</definedName>
  </definedNames>
  <calcPr calcId="162913"/>
</workbook>
</file>

<file path=xl/calcChain.xml><?xml version="1.0" encoding="utf-8"?>
<calcChain xmlns="http://schemas.openxmlformats.org/spreadsheetml/2006/main">
  <c r="C19" i="10" l="1"/>
  <c r="D12" i="16" l="1"/>
  <c r="D12" i="11"/>
  <c r="D11" i="11"/>
  <c r="D8" i="11"/>
  <c r="D25" i="10"/>
  <c r="D22" i="10" l="1"/>
  <c r="D23" i="10"/>
  <c r="O9" i="18" l="1"/>
  <c r="P9" i="18"/>
  <c r="Q9" i="18"/>
  <c r="O10" i="18"/>
  <c r="P10" i="18"/>
  <c r="Q10" i="18"/>
  <c r="O12" i="18"/>
  <c r="P12" i="18"/>
  <c r="Q12" i="18"/>
  <c r="O11" i="18"/>
  <c r="P11" i="18"/>
  <c r="Q11" i="18"/>
  <c r="O13" i="18"/>
  <c r="P13" i="18"/>
  <c r="Q13" i="18"/>
  <c r="O14" i="18"/>
  <c r="P14" i="18"/>
  <c r="Q14" i="18"/>
  <c r="O15" i="18"/>
  <c r="P15" i="18"/>
  <c r="Q15" i="18"/>
  <c r="O16" i="18"/>
  <c r="P16" i="18"/>
  <c r="Q16" i="18"/>
  <c r="O17" i="18"/>
  <c r="P17" i="18"/>
  <c r="Q17" i="18"/>
  <c r="O18" i="18"/>
  <c r="P18" i="18"/>
  <c r="Q18" i="18"/>
  <c r="O19" i="18"/>
  <c r="P19" i="18"/>
  <c r="Q19" i="18"/>
  <c r="O20" i="18"/>
  <c r="P20" i="18"/>
  <c r="Q20" i="18"/>
  <c r="N9" i="18"/>
  <c r="N5" i="18"/>
  <c r="D5" i="6" l="1"/>
  <c r="E5" i="6" s="1"/>
  <c r="C14" i="16"/>
  <c r="D15" i="10" l="1"/>
  <c r="D27" i="10" l="1"/>
  <c r="D26" i="10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C5" i="18" l="1"/>
  <c r="D21" i="10"/>
  <c r="D17" i="10"/>
  <c r="D14" i="10"/>
  <c r="D16" i="10"/>
  <c r="D18" i="10"/>
  <c r="D12" i="10"/>
  <c r="D20" i="10"/>
  <c r="D19" i="10" l="1"/>
  <c r="K9" i="18"/>
  <c r="L9" i="18"/>
  <c r="M9" i="18"/>
  <c r="K10" i="18"/>
  <c r="L10" i="18"/>
  <c r="M10" i="18"/>
  <c r="N10" i="18"/>
  <c r="K12" i="18"/>
  <c r="L12" i="18"/>
  <c r="M12" i="18"/>
  <c r="N12" i="18"/>
  <c r="K11" i="18"/>
  <c r="L11" i="18"/>
  <c r="M11" i="18"/>
  <c r="N11" i="18"/>
  <c r="K13" i="18"/>
  <c r="L13" i="18"/>
  <c r="M13" i="18"/>
  <c r="N13" i="18"/>
  <c r="K14" i="18"/>
  <c r="L14" i="18"/>
  <c r="M14" i="18"/>
  <c r="N14" i="18"/>
  <c r="K15" i="18"/>
  <c r="L15" i="18"/>
  <c r="M15" i="18"/>
  <c r="N15" i="18"/>
  <c r="K16" i="18"/>
  <c r="L16" i="18"/>
  <c r="M16" i="18"/>
  <c r="N16" i="18"/>
  <c r="K17" i="18"/>
  <c r="L17" i="18"/>
  <c r="M17" i="18"/>
  <c r="C14" i="11" s="1"/>
  <c r="N17" i="18"/>
  <c r="K18" i="18"/>
  <c r="L18" i="18"/>
  <c r="M18" i="18"/>
  <c r="N18" i="18"/>
  <c r="K19" i="18"/>
  <c r="L19" i="18"/>
  <c r="M19" i="18"/>
  <c r="N19" i="18"/>
  <c r="K20" i="18"/>
  <c r="L20" i="18"/>
  <c r="M20" i="18"/>
  <c r="N20" i="18"/>
  <c r="J10" i="18"/>
  <c r="J12" i="18"/>
  <c r="J11" i="18"/>
  <c r="J13" i="18"/>
  <c r="J14" i="18"/>
  <c r="J15" i="18"/>
  <c r="J16" i="18"/>
  <c r="J17" i="18"/>
  <c r="J18" i="18"/>
  <c r="J19" i="18"/>
  <c r="J20" i="18"/>
  <c r="J9" i="18"/>
  <c r="D4" i="6"/>
  <c r="C4" i="6" l="1"/>
  <c r="C16" i="14" l="1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AI4" i="19" s="1"/>
  <c r="AJ4" i="19" s="1"/>
  <c r="AK4" i="19" s="1"/>
  <c r="C5" i="19"/>
  <c r="D5" i="19" s="1"/>
  <c r="E5" i="19" s="1"/>
  <c r="F5" i="19" s="1"/>
  <c r="G5" i="19" s="1"/>
  <c r="H5" i="19" s="1"/>
  <c r="I5" i="19" s="1"/>
  <c r="J5" i="19" s="1"/>
  <c r="K5" i="19" s="1"/>
  <c r="L5" i="19" s="1"/>
  <c r="M5" i="19" s="1"/>
  <c r="N5" i="19" s="1"/>
  <c r="O5" i="19" s="1"/>
  <c r="P5" i="19" s="1"/>
  <c r="Q5" i="19" s="1"/>
  <c r="R5" i="19" s="1"/>
  <c r="S5" i="19" s="1"/>
  <c r="T5" i="19" s="1"/>
  <c r="U5" i="19" s="1"/>
  <c r="V5" i="19" s="1"/>
  <c r="W5" i="19" s="1"/>
  <c r="X5" i="19" s="1"/>
  <c r="Y5" i="19" s="1"/>
  <c r="Z5" i="19" s="1"/>
  <c r="AA5" i="19" s="1"/>
  <c r="AB5" i="19" s="1"/>
  <c r="AC5" i="19" s="1"/>
  <c r="AD5" i="19" s="1"/>
  <c r="AE5" i="19" s="1"/>
  <c r="AF5" i="19" s="1"/>
  <c r="AG5" i="19" s="1"/>
  <c r="AH5" i="19" s="1"/>
  <c r="AI5" i="19" s="1"/>
  <c r="AJ5" i="19" s="1"/>
  <c r="AK5" i="19" s="1"/>
  <c r="C6" i="19"/>
  <c r="D6" i="19" s="1"/>
  <c r="E6" i="19" s="1"/>
  <c r="F6" i="19" s="1"/>
  <c r="G6" i="19" s="1"/>
  <c r="H6" i="19" s="1"/>
  <c r="I6" i="19" s="1"/>
  <c r="J6" i="19" s="1"/>
  <c r="K6" i="19" s="1"/>
  <c r="L6" i="19" s="1"/>
  <c r="M6" i="19" s="1"/>
  <c r="N6" i="19" s="1"/>
  <c r="O6" i="19" s="1"/>
  <c r="P6" i="19" s="1"/>
  <c r="Q6" i="19" s="1"/>
  <c r="R6" i="19" s="1"/>
  <c r="S6" i="19" s="1"/>
  <c r="T6" i="19" s="1"/>
  <c r="U6" i="19" s="1"/>
  <c r="V6" i="19" s="1"/>
  <c r="W6" i="19" s="1"/>
  <c r="X6" i="19" s="1"/>
  <c r="Y6" i="19" s="1"/>
  <c r="Z6" i="19" s="1"/>
  <c r="AA6" i="19" s="1"/>
  <c r="AB6" i="19" s="1"/>
  <c r="AC6" i="19" s="1"/>
  <c r="AD6" i="19" s="1"/>
  <c r="AE6" i="19" s="1"/>
  <c r="AF6" i="19" s="1"/>
  <c r="AG6" i="19" s="1"/>
  <c r="AH6" i="19" s="1"/>
  <c r="AI6" i="19" s="1"/>
  <c r="AJ6" i="19" s="1"/>
  <c r="AK6" i="19" s="1"/>
  <c r="C7" i="19"/>
  <c r="D7" i="19" s="1"/>
  <c r="E7" i="19" s="1"/>
  <c r="F7" i="19" s="1"/>
  <c r="G7" i="19" s="1"/>
  <c r="H7" i="19" s="1"/>
  <c r="I7" i="19" s="1"/>
  <c r="J7" i="19" s="1"/>
  <c r="K7" i="19" s="1"/>
  <c r="L7" i="19" s="1"/>
  <c r="M7" i="19" s="1"/>
  <c r="N7" i="19" s="1"/>
  <c r="O7" i="19" s="1"/>
  <c r="P7" i="19" s="1"/>
  <c r="Q7" i="19" s="1"/>
  <c r="R7" i="19" s="1"/>
  <c r="S7" i="19" s="1"/>
  <c r="T7" i="19" s="1"/>
  <c r="U7" i="19" s="1"/>
  <c r="V7" i="19" s="1"/>
  <c r="W7" i="19" s="1"/>
  <c r="X7" i="19" s="1"/>
  <c r="Y7" i="19" s="1"/>
  <c r="Z7" i="19" s="1"/>
  <c r="AA7" i="19" s="1"/>
  <c r="AB7" i="19" s="1"/>
  <c r="AC7" i="19" s="1"/>
  <c r="AD7" i="19" s="1"/>
  <c r="AE7" i="19" s="1"/>
  <c r="AF7" i="19" s="1"/>
  <c r="AG7" i="19" s="1"/>
  <c r="AH7" i="19" s="1"/>
  <c r="AI7" i="19" s="1"/>
  <c r="AJ7" i="19" s="1"/>
  <c r="AK7" i="19" s="1"/>
  <c r="C8" i="19"/>
  <c r="D8" i="19" s="1"/>
  <c r="E8" i="19" s="1"/>
  <c r="F8" i="19" s="1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Y8" i="19" s="1"/>
  <c r="Z8" i="19" s="1"/>
  <c r="AA8" i="19" s="1"/>
  <c r="AB8" i="19" s="1"/>
  <c r="AC8" i="19" s="1"/>
  <c r="AD8" i="19" s="1"/>
  <c r="AE8" i="19" s="1"/>
  <c r="AF8" i="19" s="1"/>
  <c r="AG8" i="19" s="1"/>
  <c r="AH8" i="19" s="1"/>
  <c r="AI8" i="19" s="1"/>
  <c r="AJ8" i="19" s="1"/>
  <c r="AK8" i="19" s="1"/>
  <c r="C9" i="19"/>
  <c r="D9" i="19" s="1"/>
  <c r="E9" i="19" s="1"/>
  <c r="F9" i="19" s="1"/>
  <c r="G9" i="19" s="1"/>
  <c r="H9" i="19" s="1"/>
  <c r="I9" i="19" s="1"/>
  <c r="J9" i="19" s="1"/>
  <c r="K9" i="19" s="1"/>
  <c r="L9" i="19" s="1"/>
  <c r="M9" i="19" s="1"/>
  <c r="N9" i="19" s="1"/>
  <c r="O9" i="19" s="1"/>
  <c r="P9" i="19" s="1"/>
  <c r="Q9" i="19" s="1"/>
  <c r="R9" i="19" s="1"/>
  <c r="S9" i="19" s="1"/>
  <c r="T9" i="19" s="1"/>
  <c r="U9" i="19" s="1"/>
  <c r="V9" i="19" s="1"/>
  <c r="W9" i="19" s="1"/>
  <c r="X9" i="19" s="1"/>
  <c r="Y9" i="19" s="1"/>
  <c r="Z9" i="19" s="1"/>
  <c r="AA9" i="19" s="1"/>
  <c r="AB9" i="19" s="1"/>
  <c r="AC9" i="19" s="1"/>
  <c r="AD9" i="19" s="1"/>
  <c r="AE9" i="19" s="1"/>
  <c r="AF9" i="19" s="1"/>
  <c r="AG9" i="19" s="1"/>
  <c r="AH9" i="19" s="1"/>
  <c r="AI9" i="19" s="1"/>
  <c r="AJ9" i="19" s="1"/>
  <c r="AK9" i="19" s="1"/>
  <c r="C10" i="19"/>
  <c r="D10" i="19" s="1"/>
  <c r="E10" i="19" s="1"/>
  <c r="F10" i="19" s="1"/>
  <c r="G10" i="19" s="1"/>
  <c r="H10" i="19" s="1"/>
  <c r="I10" i="19" s="1"/>
  <c r="J10" i="19" s="1"/>
  <c r="K10" i="19" s="1"/>
  <c r="L10" i="19" s="1"/>
  <c r="M10" i="19" s="1"/>
  <c r="N10" i="19" s="1"/>
  <c r="O10" i="19" s="1"/>
  <c r="P10" i="19" s="1"/>
  <c r="Q10" i="19" s="1"/>
  <c r="R10" i="19" s="1"/>
  <c r="S10" i="19" s="1"/>
  <c r="T10" i="19" s="1"/>
  <c r="U10" i="19" s="1"/>
  <c r="V10" i="19" s="1"/>
  <c r="W10" i="19" s="1"/>
  <c r="X10" i="19" s="1"/>
  <c r="Y10" i="19" s="1"/>
  <c r="Z10" i="19" s="1"/>
  <c r="AA10" i="19" s="1"/>
  <c r="AB10" i="19" s="1"/>
  <c r="AC10" i="19" s="1"/>
  <c r="AD10" i="19" s="1"/>
  <c r="AE10" i="19" s="1"/>
  <c r="AF10" i="19" s="1"/>
  <c r="AG10" i="19" s="1"/>
  <c r="AH10" i="19" s="1"/>
  <c r="AI10" i="19" s="1"/>
  <c r="AJ10" i="19" s="1"/>
  <c r="AK10" i="19" s="1"/>
  <c r="C11" i="19"/>
  <c r="D11" i="19" s="1"/>
  <c r="E11" i="19" s="1"/>
  <c r="F11" i="19" s="1"/>
  <c r="G11" i="19" s="1"/>
  <c r="H11" i="19" s="1"/>
  <c r="I11" i="19" s="1"/>
  <c r="J11" i="19" s="1"/>
  <c r="K11" i="19" s="1"/>
  <c r="L11" i="19" s="1"/>
  <c r="M11" i="19" s="1"/>
  <c r="N11" i="19" s="1"/>
  <c r="O11" i="19" s="1"/>
  <c r="P11" i="19" s="1"/>
  <c r="Q11" i="19" s="1"/>
  <c r="R11" i="19" s="1"/>
  <c r="S11" i="19" s="1"/>
  <c r="T11" i="19" s="1"/>
  <c r="U11" i="19" s="1"/>
  <c r="V11" i="19" s="1"/>
  <c r="W11" i="19" s="1"/>
  <c r="X11" i="19" s="1"/>
  <c r="Y11" i="19" s="1"/>
  <c r="Z11" i="19" s="1"/>
  <c r="AA11" i="19" s="1"/>
  <c r="AB11" i="19" s="1"/>
  <c r="AC11" i="19" s="1"/>
  <c r="AD11" i="19" s="1"/>
  <c r="AE11" i="19" s="1"/>
  <c r="AF11" i="19" s="1"/>
  <c r="AG11" i="19" s="1"/>
  <c r="AH11" i="19" s="1"/>
  <c r="AI11" i="19" s="1"/>
  <c r="AJ11" i="19" s="1"/>
  <c r="AK11" i="19" s="1"/>
  <c r="C12" i="19"/>
  <c r="D12" i="19" s="1"/>
  <c r="E12" i="19" s="1"/>
  <c r="F12" i="19" s="1"/>
  <c r="G12" i="19" s="1"/>
  <c r="H12" i="19" s="1"/>
  <c r="I12" i="19" s="1"/>
  <c r="J12" i="19" s="1"/>
  <c r="K12" i="19" s="1"/>
  <c r="L12" i="19" s="1"/>
  <c r="M12" i="19" s="1"/>
  <c r="N12" i="19" s="1"/>
  <c r="O12" i="19" s="1"/>
  <c r="P12" i="19" s="1"/>
  <c r="Q12" i="19" s="1"/>
  <c r="R12" i="19" s="1"/>
  <c r="S12" i="19" s="1"/>
  <c r="T12" i="19" s="1"/>
  <c r="U12" i="19" s="1"/>
  <c r="V12" i="19" s="1"/>
  <c r="W12" i="19" s="1"/>
  <c r="X12" i="19" s="1"/>
  <c r="Y12" i="19" s="1"/>
  <c r="Z12" i="19" s="1"/>
  <c r="AA12" i="19" s="1"/>
  <c r="AB12" i="19" s="1"/>
  <c r="AC12" i="19" s="1"/>
  <c r="AD12" i="19" s="1"/>
  <c r="AE12" i="19" s="1"/>
  <c r="AF12" i="19" s="1"/>
  <c r="AG12" i="19" s="1"/>
  <c r="AH12" i="19" s="1"/>
  <c r="AI12" i="19" s="1"/>
  <c r="AJ12" i="19" s="1"/>
  <c r="AK12" i="19" s="1"/>
  <c r="C3" i="19"/>
  <c r="D3" i="19" l="1"/>
  <c r="AL5" i="9"/>
  <c r="AL11" i="6" s="1"/>
  <c r="AK5" i="9"/>
  <c r="AK11" i="6" s="1"/>
  <c r="AJ5" i="9"/>
  <c r="AJ11" i="6" s="1"/>
  <c r="AI5" i="9"/>
  <c r="AI11" i="6" s="1"/>
  <c r="AH5" i="9"/>
  <c r="AH11" i="6" s="1"/>
  <c r="AG5" i="9"/>
  <c r="AG11" i="6" s="1"/>
  <c r="AF5" i="9"/>
  <c r="AF11" i="6" s="1"/>
  <c r="AE5" i="9"/>
  <c r="AE11" i="6" s="1"/>
  <c r="AD5" i="9"/>
  <c r="AD11" i="6" s="1"/>
  <c r="AC5" i="9"/>
  <c r="AC11" i="6" s="1"/>
  <c r="AB5" i="9"/>
  <c r="AB11" i="6" s="1"/>
  <c r="AA5" i="9"/>
  <c r="AA11" i="6" s="1"/>
  <c r="Z5" i="9"/>
  <c r="Z11" i="6" s="1"/>
  <c r="Y5" i="9"/>
  <c r="Y11" i="6" s="1"/>
  <c r="X5" i="9"/>
  <c r="X11" i="6" s="1"/>
  <c r="W5" i="9"/>
  <c r="W11" i="6" s="1"/>
  <c r="V5" i="9"/>
  <c r="V11" i="6" s="1"/>
  <c r="U5" i="9"/>
  <c r="U11" i="6" s="1"/>
  <c r="T5" i="9"/>
  <c r="T11" i="6" s="1"/>
  <c r="S5" i="9"/>
  <c r="S11" i="6" s="1"/>
  <c r="R5" i="9"/>
  <c r="R11" i="6" s="1"/>
  <c r="Q5" i="9"/>
  <c r="Q11" i="6" s="1"/>
  <c r="P5" i="9"/>
  <c r="P11" i="6" s="1"/>
  <c r="O5" i="9"/>
  <c r="O11" i="6" s="1"/>
  <c r="N5" i="9"/>
  <c r="N11" i="6" s="1"/>
  <c r="M5" i="9"/>
  <c r="M11" i="6" s="1"/>
  <c r="L5" i="9"/>
  <c r="L11" i="6" s="1"/>
  <c r="K5" i="9"/>
  <c r="K11" i="6" s="1"/>
  <c r="J5" i="9"/>
  <c r="J11" i="6" s="1"/>
  <c r="I5" i="9"/>
  <c r="I11" i="6" s="1"/>
  <c r="H5" i="9"/>
  <c r="H11" i="6" s="1"/>
  <c r="G5" i="9"/>
  <c r="G11" i="6" s="1"/>
  <c r="F5" i="9"/>
  <c r="F11" i="6" s="1"/>
  <c r="E5" i="9"/>
  <c r="E11" i="6" s="1"/>
  <c r="D5" i="9"/>
  <c r="D11" i="6" s="1"/>
  <c r="AL4" i="9"/>
  <c r="AL19" i="6" s="1"/>
  <c r="AK4" i="9"/>
  <c r="AK19" i="6" s="1"/>
  <c r="AJ4" i="9"/>
  <c r="AJ19" i="6" s="1"/>
  <c r="AI4" i="9"/>
  <c r="AI19" i="6" s="1"/>
  <c r="AH4" i="9"/>
  <c r="AH19" i="6" s="1"/>
  <c r="AG4" i="9"/>
  <c r="AG19" i="6" s="1"/>
  <c r="AF4" i="9"/>
  <c r="AF19" i="6" s="1"/>
  <c r="AE4" i="9"/>
  <c r="AE19" i="6" s="1"/>
  <c r="AD4" i="9"/>
  <c r="AD19" i="6" s="1"/>
  <c r="AC4" i="9"/>
  <c r="AC19" i="6" s="1"/>
  <c r="AB4" i="9"/>
  <c r="AB19" i="6" s="1"/>
  <c r="AA4" i="9"/>
  <c r="AA19" i="6" s="1"/>
  <c r="Z4" i="9"/>
  <c r="Z19" i="6" s="1"/>
  <c r="Y4" i="9"/>
  <c r="Y19" i="6" s="1"/>
  <c r="X4" i="9"/>
  <c r="X19" i="6" s="1"/>
  <c r="W4" i="9"/>
  <c r="W19" i="6" s="1"/>
  <c r="V4" i="9"/>
  <c r="V19" i="6" s="1"/>
  <c r="U4" i="9"/>
  <c r="U19" i="6" s="1"/>
  <c r="T4" i="9"/>
  <c r="T19" i="6" s="1"/>
  <c r="S4" i="9"/>
  <c r="S19" i="6" s="1"/>
  <c r="R4" i="9"/>
  <c r="R19" i="6" s="1"/>
  <c r="Q4" i="9"/>
  <c r="Q19" i="6" s="1"/>
  <c r="P4" i="9"/>
  <c r="P19" i="6" s="1"/>
  <c r="O4" i="9"/>
  <c r="O19" i="6" s="1"/>
  <c r="N4" i="9"/>
  <c r="N19" i="6" s="1"/>
  <c r="M4" i="9"/>
  <c r="M19" i="6" s="1"/>
  <c r="L4" i="9"/>
  <c r="L19" i="6" s="1"/>
  <c r="K4" i="9"/>
  <c r="K19" i="6" s="1"/>
  <c r="J4" i="9"/>
  <c r="J19" i="6" s="1"/>
  <c r="I4" i="9"/>
  <c r="I19" i="6" s="1"/>
  <c r="H4" i="9"/>
  <c r="H19" i="6" s="1"/>
  <c r="G4" i="9"/>
  <c r="G19" i="6" s="1"/>
  <c r="F4" i="9"/>
  <c r="F19" i="6" s="1"/>
  <c r="E4" i="9"/>
  <c r="E19" i="6" s="1"/>
  <c r="D4" i="9"/>
  <c r="D19" i="6" s="1"/>
  <c r="E3" i="19" l="1"/>
  <c r="C5" i="13"/>
  <c r="F3" i="19" l="1"/>
  <c r="C29" i="19"/>
  <c r="C30" i="19"/>
  <c r="C31" i="19"/>
  <c r="C20" i="19"/>
  <c r="C21" i="19"/>
  <c r="C22" i="19"/>
  <c r="C23" i="19"/>
  <c r="C24" i="19"/>
  <c r="C25" i="19"/>
  <c r="C26" i="19"/>
  <c r="C27" i="19"/>
  <c r="C28" i="19"/>
  <c r="C19" i="19"/>
  <c r="C13" i="19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W14" i="19" s="1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AJ14" i="19" s="1"/>
  <c r="AK14" i="19" s="1"/>
  <c r="C15" i="19"/>
  <c r="D18" i="19"/>
  <c r="E18" i="19" s="1"/>
  <c r="F18" i="19" s="1"/>
  <c r="G18" i="19" s="1"/>
  <c r="H18" i="19" s="1"/>
  <c r="I18" i="19" s="1"/>
  <c r="J18" i="19" s="1"/>
  <c r="K18" i="19" s="1"/>
  <c r="L18" i="19" s="1"/>
  <c r="M18" i="19" s="1"/>
  <c r="N18" i="19" s="1"/>
  <c r="O18" i="19" s="1"/>
  <c r="P18" i="19" s="1"/>
  <c r="Q18" i="19" s="1"/>
  <c r="R18" i="19" s="1"/>
  <c r="S18" i="19" s="1"/>
  <c r="T18" i="19" s="1"/>
  <c r="U18" i="19" s="1"/>
  <c r="V18" i="19" s="1"/>
  <c r="W18" i="19" s="1"/>
  <c r="X18" i="19" s="1"/>
  <c r="Y18" i="19" s="1"/>
  <c r="Z18" i="19" s="1"/>
  <c r="AA18" i="19" s="1"/>
  <c r="AB18" i="19" s="1"/>
  <c r="AC18" i="19" s="1"/>
  <c r="AD18" i="19" s="1"/>
  <c r="AE18" i="19" s="1"/>
  <c r="AF18" i="19" s="1"/>
  <c r="AG18" i="19" s="1"/>
  <c r="AH18" i="19" s="1"/>
  <c r="AI18" i="19" s="1"/>
  <c r="AJ18" i="19" s="1"/>
  <c r="AK18" i="19" s="1"/>
  <c r="D2" i="19"/>
  <c r="E2" i="19" s="1"/>
  <c r="F2" i="19" s="1"/>
  <c r="G2" i="19" s="1"/>
  <c r="H2" i="19" s="1"/>
  <c r="I2" i="19" s="1"/>
  <c r="J2" i="19" s="1"/>
  <c r="K2" i="19" s="1"/>
  <c r="L2" i="19" s="1"/>
  <c r="M2" i="19" s="1"/>
  <c r="N2" i="19" s="1"/>
  <c r="O2" i="19" s="1"/>
  <c r="P2" i="19" s="1"/>
  <c r="Q2" i="19" s="1"/>
  <c r="R2" i="19" s="1"/>
  <c r="S2" i="19" s="1"/>
  <c r="T2" i="19" s="1"/>
  <c r="U2" i="19" s="1"/>
  <c r="V2" i="19" s="1"/>
  <c r="W2" i="19" s="1"/>
  <c r="X2" i="19" s="1"/>
  <c r="Y2" i="19" s="1"/>
  <c r="Z2" i="19" s="1"/>
  <c r="AA2" i="19" s="1"/>
  <c r="AB2" i="19" s="1"/>
  <c r="AC2" i="19" s="1"/>
  <c r="AD2" i="19" s="1"/>
  <c r="AE2" i="19" s="1"/>
  <c r="AF2" i="19" s="1"/>
  <c r="AG2" i="19" s="1"/>
  <c r="AH2" i="19" s="1"/>
  <c r="AI2" i="19" s="1"/>
  <c r="AJ2" i="19" s="1"/>
  <c r="AK2" i="19" s="1"/>
  <c r="D8" i="6" l="1"/>
  <c r="C32" i="19"/>
  <c r="C16" i="19"/>
  <c r="G3" i="19"/>
  <c r="D13" i="19"/>
  <c r="D15" i="19"/>
  <c r="E15" i="19" s="1"/>
  <c r="F15" i="19" s="1"/>
  <c r="G15" i="19" s="1"/>
  <c r="H15" i="19" s="1"/>
  <c r="I15" i="19" s="1"/>
  <c r="J15" i="19" s="1"/>
  <c r="K15" i="19" s="1"/>
  <c r="L15" i="19" s="1"/>
  <c r="M15" i="19" s="1"/>
  <c r="N15" i="19" s="1"/>
  <c r="O15" i="19" s="1"/>
  <c r="P15" i="19" s="1"/>
  <c r="Q15" i="19" s="1"/>
  <c r="R15" i="19" s="1"/>
  <c r="S15" i="19" s="1"/>
  <c r="T15" i="19" s="1"/>
  <c r="U15" i="19" s="1"/>
  <c r="V15" i="19" s="1"/>
  <c r="W15" i="19" s="1"/>
  <c r="X15" i="19" s="1"/>
  <c r="Y15" i="19" s="1"/>
  <c r="Z15" i="19" s="1"/>
  <c r="AA15" i="19" s="1"/>
  <c r="AB15" i="19" s="1"/>
  <c r="AC15" i="19" s="1"/>
  <c r="AD15" i="19" s="1"/>
  <c r="AE15" i="19" s="1"/>
  <c r="AF15" i="19" s="1"/>
  <c r="AG15" i="19" s="1"/>
  <c r="AH15" i="19" s="1"/>
  <c r="AI15" i="19" s="1"/>
  <c r="AJ15" i="19" s="1"/>
  <c r="AK15" i="19" s="1"/>
  <c r="C12" i="13"/>
  <c r="C15" i="13" s="1"/>
  <c r="D8" i="9"/>
  <c r="E8" i="6" l="1"/>
  <c r="C3" i="15"/>
  <c r="E13" i="19"/>
  <c r="F8" i="6" s="1"/>
  <c r="D16" i="19"/>
  <c r="H3" i="19"/>
  <c r="C4" i="9"/>
  <c r="F13" i="19" l="1"/>
  <c r="G8" i="6" s="1"/>
  <c r="E16" i="19"/>
  <c r="I3" i="19"/>
  <c r="G13" i="19" l="1"/>
  <c r="H8" i="6" s="1"/>
  <c r="F16" i="19"/>
  <c r="J3" i="19"/>
  <c r="H13" i="19" l="1"/>
  <c r="I8" i="6" s="1"/>
  <c r="G16" i="19"/>
  <c r="K3" i="19"/>
  <c r="C8" i="16"/>
  <c r="C8" i="15" l="1"/>
  <c r="C9" i="15" s="1"/>
  <c r="C10" i="15" s="1"/>
  <c r="I13" i="19"/>
  <c r="J8" i="6" s="1"/>
  <c r="H16" i="19"/>
  <c r="L3" i="19"/>
  <c r="J13" i="19" l="1"/>
  <c r="K8" i="6" s="1"/>
  <c r="I16" i="19"/>
  <c r="M3" i="19"/>
  <c r="K13" i="19" l="1"/>
  <c r="L8" i="6" s="1"/>
  <c r="J16" i="19"/>
  <c r="N3" i="19"/>
  <c r="L13" i="19" l="1"/>
  <c r="M8" i="6" s="1"/>
  <c r="K16" i="19"/>
  <c r="O3" i="19"/>
  <c r="D24" i="3"/>
  <c r="M13" i="19" l="1"/>
  <c r="N8" i="6" s="1"/>
  <c r="L16" i="19"/>
  <c r="P3" i="19"/>
  <c r="M5" i="18"/>
  <c r="L5" i="18"/>
  <c r="K5" i="18"/>
  <c r="J5" i="18"/>
  <c r="I5" i="18"/>
  <c r="H5" i="18"/>
  <c r="G5" i="18"/>
  <c r="F5" i="18"/>
  <c r="E5" i="18"/>
  <c r="D5" i="18"/>
  <c r="D3" i="18"/>
  <c r="E3" i="18" s="1"/>
  <c r="F3" i="18" s="1"/>
  <c r="G3" i="18" s="1"/>
  <c r="H3" i="18" s="1"/>
  <c r="D8" i="18"/>
  <c r="C4" i="11" l="1"/>
  <c r="E8" i="18"/>
  <c r="F8" i="18" s="1"/>
  <c r="G8" i="18" s="1"/>
  <c r="H8" i="18" s="1"/>
  <c r="I8" i="18" s="1"/>
  <c r="J8" i="18" s="1"/>
  <c r="K8" i="18" s="1"/>
  <c r="L8" i="18" s="1"/>
  <c r="M8" i="18" s="1"/>
  <c r="N8" i="18" s="1"/>
  <c r="I3" i="18"/>
  <c r="J3" i="18" s="1"/>
  <c r="N13" i="19"/>
  <c r="O8" i="6" s="1"/>
  <c r="M16" i="19"/>
  <c r="Q3" i="19"/>
  <c r="K3" i="18" l="1"/>
  <c r="L3" i="18" s="1"/>
  <c r="M3" i="18" s="1"/>
  <c r="N3" i="18" s="1"/>
  <c r="C8" i="3"/>
  <c r="C7" i="3"/>
  <c r="O13" i="19"/>
  <c r="P8" i="6" s="1"/>
  <c r="N16" i="19"/>
  <c r="R3" i="19"/>
  <c r="C22" i="12"/>
  <c r="C13" i="11" l="1"/>
  <c r="C15" i="11" s="1"/>
  <c r="D16" i="6" s="1"/>
  <c r="C23" i="12"/>
  <c r="C3" i="11"/>
  <c r="C5" i="11" s="1"/>
  <c r="C13" i="3" s="1"/>
  <c r="C21" i="6"/>
  <c r="P13" i="19"/>
  <c r="Q8" i="6" s="1"/>
  <c r="O16" i="19"/>
  <c r="S3" i="19"/>
  <c r="C10" i="13"/>
  <c r="E3" i="9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C11" i="3" l="1"/>
  <c r="C12" i="3"/>
  <c r="L12" i="3"/>
  <c r="E12" i="3"/>
  <c r="M12" i="3"/>
  <c r="F12" i="3"/>
  <c r="N12" i="3"/>
  <c r="Q12" i="3"/>
  <c r="G12" i="3"/>
  <c r="O12" i="3"/>
  <c r="D12" i="3"/>
  <c r="D8" i="3" s="1"/>
  <c r="H12" i="3"/>
  <c r="P12" i="3"/>
  <c r="I12" i="3"/>
  <c r="J12" i="3"/>
  <c r="R12" i="3"/>
  <c r="K12" i="3"/>
  <c r="S12" i="3"/>
  <c r="Q13" i="19"/>
  <c r="R8" i="6" s="1"/>
  <c r="P16" i="19"/>
  <c r="T3" i="19"/>
  <c r="D11" i="3"/>
  <c r="C13" i="13"/>
  <c r="B2" i="9" s="1"/>
  <c r="R13" i="19" l="1"/>
  <c r="S8" i="6" s="1"/>
  <c r="Q16" i="19"/>
  <c r="U3" i="19"/>
  <c r="D13" i="3"/>
  <c r="D4" i="3" s="1"/>
  <c r="D12" i="6" s="1"/>
  <c r="F8" i="9"/>
  <c r="E11" i="3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D9" i="9"/>
  <c r="C29" i="9"/>
  <c r="C28" i="9"/>
  <c r="E27" i="9"/>
  <c r="F27" i="9" s="1"/>
  <c r="G27" i="9" s="1"/>
  <c r="H27" i="9" s="1"/>
  <c r="I27" i="9" s="1"/>
  <c r="J27" i="9" s="1"/>
  <c r="K27" i="9" s="1"/>
  <c r="L27" i="9" s="1"/>
  <c r="M27" i="9" s="1"/>
  <c r="N27" i="9" s="1"/>
  <c r="O27" i="9" s="1"/>
  <c r="P27" i="9" s="1"/>
  <c r="Q27" i="9" s="1"/>
  <c r="R27" i="9" s="1"/>
  <c r="S27" i="9" s="1"/>
  <c r="T27" i="9" s="1"/>
  <c r="U27" i="9" s="1"/>
  <c r="V27" i="9" s="1"/>
  <c r="W27" i="9" s="1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C25" i="9"/>
  <c r="C24" i="9"/>
  <c r="E23" i="9"/>
  <c r="F23" i="9" s="1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T23" i="9" s="1"/>
  <c r="U23" i="9" s="1"/>
  <c r="V23" i="9" s="1"/>
  <c r="W23" i="9" s="1"/>
  <c r="X23" i="9" s="1"/>
  <c r="Y23" i="9" s="1"/>
  <c r="Z23" i="9" s="1"/>
  <c r="AA23" i="9" s="1"/>
  <c r="AB23" i="9" s="1"/>
  <c r="AC23" i="9" s="1"/>
  <c r="AD23" i="9" s="1"/>
  <c r="AE23" i="9" s="1"/>
  <c r="AF23" i="9" s="1"/>
  <c r="AG23" i="9" s="1"/>
  <c r="AH23" i="9" s="1"/>
  <c r="AI23" i="9" s="1"/>
  <c r="AJ23" i="9" s="1"/>
  <c r="AK23" i="9" s="1"/>
  <c r="AL23" i="9" s="1"/>
  <c r="C21" i="9"/>
  <c r="C20" i="9"/>
  <c r="E19" i="9"/>
  <c r="F19" i="9" s="1"/>
  <c r="G19" i="9" s="1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T19" i="9" s="1"/>
  <c r="U19" i="9" s="1"/>
  <c r="V19" i="9" s="1"/>
  <c r="W19" i="9" s="1"/>
  <c r="X19" i="9" s="1"/>
  <c r="Y19" i="9" s="1"/>
  <c r="Z19" i="9" s="1"/>
  <c r="AA19" i="9" s="1"/>
  <c r="AB19" i="9" s="1"/>
  <c r="AC19" i="9" s="1"/>
  <c r="AD19" i="9" s="1"/>
  <c r="AE19" i="9" s="1"/>
  <c r="AF19" i="9" s="1"/>
  <c r="AG19" i="9" s="1"/>
  <c r="AH19" i="9" s="1"/>
  <c r="AI19" i="9" s="1"/>
  <c r="AJ19" i="9" s="1"/>
  <c r="AK19" i="9" s="1"/>
  <c r="AL19" i="9" s="1"/>
  <c r="E15" i="9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E11" i="9"/>
  <c r="F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AD11" i="9" s="1"/>
  <c r="AE11" i="9" s="1"/>
  <c r="AF11" i="9" s="1"/>
  <c r="AG11" i="9" s="1"/>
  <c r="AH11" i="9" s="1"/>
  <c r="AI11" i="9" s="1"/>
  <c r="AJ11" i="9" s="1"/>
  <c r="AK11" i="9" s="1"/>
  <c r="AL11" i="9" s="1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C19" i="3"/>
  <c r="C20" i="3"/>
  <c r="C21" i="3"/>
  <c r="C22" i="3"/>
  <c r="C23" i="3"/>
  <c r="C17" i="3"/>
  <c r="C18" i="3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S13" i="19" l="1"/>
  <c r="T8" i="6" s="1"/>
  <c r="R16" i="19"/>
  <c r="V3" i="19"/>
  <c r="G8" i="9"/>
  <c r="E8" i="9"/>
  <c r="C16" i="3"/>
  <c r="C24" i="3" s="1"/>
  <c r="B2" i="3" s="1"/>
  <c r="T13" i="19" l="1"/>
  <c r="U8" i="6" s="1"/>
  <c r="S16" i="19"/>
  <c r="W3" i="19"/>
  <c r="C16" i="9"/>
  <c r="H8" i="9"/>
  <c r="I8" i="9"/>
  <c r="E10" i="3"/>
  <c r="E8" i="3" s="1"/>
  <c r="U13" i="19" l="1"/>
  <c r="V8" i="6" s="1"/>
  <c r="T16" i="19"/>
  <c r="X3" i="19"/>
  <c r="J8" i="9"/>
  <c r="F10" i="3"/>
  <c r="F8" i="3" s="1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E7" i="9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7" i="9" s="1"/>
  <c r="AJ7" i="9" s="1"/>
  <c r="AK7" i="9" s="1"/>
  <c r="AL7" i="9" s="1"/>
  <c r="F5" i="6" l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D7" i="6"/>
  <c r="D9" i="6" s="1"/>
  <c r="V13" i="19"/>
  <c r="W8" i="6" s="1"/>
  <c r="U16" i="19"/>
  <c r="Y3" i="19"/>
  <c r="K8" i="9"/>
  <c r="G10" i="3"/>
  <c r="G8" i="3" s="1"/>
  <c r="D13" i="6" l="1"/>
  <c r="E7" i="6"/>
  <c r="E9" i="6" s="1"/>
  <c r="W13" i="19"/>
  <c r="X8" i="6" s="1"/>
  <c r="V16" i="19"/>
  <c r="Z3" i="19"/>
  <c r="F7" i="6"/>
  <c r="F9" i="6" s="1"/>
  <c r="L8" i="9"/>
  <c r="H10" i="3"/>
  <c r="H8" i="3" s="1"/>
  <c r="D15" i="6" l="1"/>
  <c r="D21" i="6" s="1"/>
  <c r="D22" i="6" s="1"/>
  <c r="X13" i="19"/>
  <c r="Y8" i="6" s="1"/>
  <c r="W16" i="19"/>
  <c r="AA3" i="19"/>
  <c r="G7" i="6"/>
  <c r="G9" i="6" s="1"/>
  <c r="M8" i="9"/>
  <c r="I10" i="3"/>
  <c r="I8" i="3" s="1"/>
  <c r="D17" i="6" l="1"/>
  <c r="Y13" i="19"/>
  <c r="Z8" i="6" s="1"/>
  <c r="X16" i="19"/>
  <c r="AB3" i="19"/>
  <c r="H7" i="6"/>
  <c r="H9" i="6" s="1"/>
  <c r="N8" i="9"/>
  <c r="J10" i="3"/>
  <c r="J8" i="3" s="1"/>
  <c r="Z13" i="19" l="1"/>
  <c r="AA8" i="6" s="1"/>
  <c r="Y16" i="19"/>
  <c r="AC3" i="19"/>
  <c r="I7" i="6"/>
  <c r="I9" i="6" s="1"/>
  <c r="O8" i="9"/>
  <c r="K10" i="3"/>
  <c r="K8" i="3" s="1"/>
  <c r="AA13" i="19" l="1"/>
  <c r="AB8" i="6" s="1"/>
  <c r="Z16" i="19"/>
  <c r="AD3" i="19"/>
  <c r="J7" i="6"/>
  <c r="J9" i="6" s="1"/>
  <c r="P8" i="9"/>
  <c r="L10" i="3"/>
  <c r="L8" i="3" s="1"/>
  <c r="AB13" i="19" l="1"/>
  <c r="AC8" i="6" s="1"/>
  <c r="AA16" i="19"/>
  <c r="AE3" i="19"/>
  <c r="K7" i="6"/>
  <c r="K9" i="6" s="1"/>
  <c r="Q8" i="9"/>
  <c r="M10" i="3"/>
  <c r="M8" i="3" s="1"/>
  <c r="AC13" i="19" l="1"/>
  <c r="AD8" i="6" s="1"/>
  <c r="AB16" i="19"/>
  <c r="AF3" i="19"/>
  <c r="L7" i="6"/>
  <c r="L9" i="6" s="1"/>
  <c r="R8" i="9"/>
  <c r="N10" i="3"/>
  <c r="N8" i="3" s="1"/>
  <c r="AD13" i="19" l="1"/>
  <c r="AE8" i="6" s="1"/>
  <c r="AC16" i="19"/>
  <c r="AG3" i="19"/>
  <c r="M7" i="6"/>
  <c r="M9" i="6" s="1"/>
  <c r="S8" i="9"/>
  <c r="O10" i="3"/>
  <c r="O8" i="3" s="1"/>
  <c r="AE13" i="19" l="1"/>
  <c r="AF8" i="6" s="1"/>
  <c r="AD16" i="19"/>
  <c r="AH3" i="19"/>
  <c r="N7" i="6"/>
  <c r="N9" i="6" s="1"/>
  <c r="T8" i="9"/>
  <c r="P10" i="3"/>
  <c r="P8" i="3" s="1"/>
  <c r="AF13" i="19" l="1"/>
  <c r="AG8" i="6" s="1"/>
  <c r="AE16" i="19"/>
  <c r="AI3" i="19"/>
  <c r="O7" i="6"/>
  <c r="O9" i="6" s="1"/>
  <c r="U8" i="9"/>
  <c r="Q10" i="3"/>
  <c r="Q8" i="3" s="1"/>
  <c r="AG13" i="19" l="1"/>
  <c r="AH8" i="6" s="1"/>
  <c r="AF16" i="19"/>
  <c r="AJ3" i="19"/>
  <c r="P7" i="6"/>
  <c r="P9" i="6" s="1"/>
  <c r="V8" i="9"/>
  <c r="R10" i="3"/>
  <c r="R8" i="3" s="1"/>
  <c r="AH13" i="19" l="1"/>
  <c r="AI8" i="6" s="1"/>
  <c r="AG16" i="19"/>
  <c r="AK3" i="19"/>
  <c r="Q7" i="6"/>
  <c r="Q9" i="6" s="1"/>
  <c r="W8" i="9"/>
  <c r="S10" i="3"/>
  <c r="S8" i="3" s="1"/>
  <c r="AI13" i="19" l="1"/>
  <c r="AJ8" i="6" s="1"/>
  <c r="AH16" i="19"/>
  <c r="R7" i="6"/>
  <c r="R9" i="6" s="1"/>
  <c r="X8" i="9"/>
  <c r="T10" i="3"/>
  <c r="T8" i="3" s="1"/>
  <c r="AJ13" i="19" l="1"/>
  <c r="AK8" i="6" s="1"/>
  <c r="AI16" i="19"/>
  <c r="S7" i="6"/>
  <c r="S9" i="6" s="1"/>
  <c r="Y8" i="9"/>
  <c r="U10" i="3"/>
  <c r="U8" i="3" s="1"/>
  <c r="AK13" i="19" l="1"/>
  <c r="AL8" i="6" s="1"/>
  <c r="AJ16" i="19"/>
  <c r="T7" i="6"/>
  <c r="T9" i="6" s="1"/>
  <c r="Z8" i="9"/>
  <c r="V10" i="3"/>
  <c r="V8" i="3" s="1"/>
  <c r="AK16" i="19" l="1"/>
  <c r="U7" i="6"/>
  <c r="U9" i="6" s="1"/>
  <c r="AA8" i="9"/>
  <c r="W10" i="3"/>
  <c r="W8" i="3" s="1"/>
  <c r="V7" i="6" l="1"/>
  <c r="V9" i="6" s="1"/>
  <c r="AB8" i="9"/>
  <c r="X10" i="3"/>
  <c r="X8" i="3" s="1"/>
  <c r="W7" i="6" l="1"/>
  <c r="W9" i="6" s="1"/>
  <c r="AC8" i="9"/>
  <c r="Y10" i="3"/>
  <c r="Y8" i="3" s="1"/>
  <c r="X7" i="6" l="1"/>
  <c r="X9" i="6" s="1"/>
  <c r="AD8" i="9"/>
  <c r="Z10" i="3"/>
  <c r="Z8" i="3" s="1"/>
  <c r="Y7" i="6" l="1"/>
  <c r="Y9" i="6" s="1"/>
  <c r="AE8" i="9"/>
  <c r="AA10" i="3"/>
  <c r="AA8" i="3" s="1"/>
  <c r="AF8" i="9" l="1"/>
  <c r="AB10" i="3"/>
  <c r="AB8" i="3" s="1"/>
  <c r="Z7" i="6" l="1"/>
  <c r="Z9" i="6" s="1"/>
  <c r="AG8" i="9"/>
  <c r="AC10" i="3"/>
  <c r="AC8" i="3" s="1"/>
  <c r="AA7" i="6"/>
  <c r="AA9" i="6" s="1"/>
  <c r="AH8" i="9" l="1"/>
  <c r="AD10" i="3"/>
  <c r="AD8" i="3" s="1"/>
  <c r="AB7" i="6"/>
  <c r="AB9" i="6" s="1"/>
  <c r="AI8" i="9" l="1"/>
  <c r="AE10" i="3"/>
  <c r="AE8" i="3" s="1"/>
  <c r="AC7" i="6"/>
  <c r="AC9" i="6" s="1"/>
  <c r="AJ8" i="9" l="1"/>
  <c r="AF10" i="3"/>
  <c r="AF8" i="3" s="1"/>
  <c r="AD7" i="6"/>
  <c r="AD9" i="6" s="1"/>
  <c r="E3" i="6"/>
  <c r="E4" i="6" s="1"/>
  <c r="F3" i="6" l="1"/>
  <c r="F4" i="6" s="1"/>
  <c r="AK8" i="9"/>
  <c r="AG10" i="3"/>
  <c r="AG8" i="3" s="1"/>
  <c r="AE7" i="6"/>
  <c r="AE9" i="6" s="1"/>
  <c r="G3" i="6" l="1"/>
  <c r="G4" i="6" s="1"/>
  <c r="AH10" i="3"/>
  <c r="AH8" i="3" s="1"/>
  <c r="AF7" i="6"/>
  <c r="AF9" i="6" s="1"/>
  <c r="H3" i="6" l="1"/>
  <c r="H4" i="6" s="1"/>
  <c r="AL8" i="9"/>
  <c r="C8" i="9" s="1"/>
  <c r="C12" i="9"/>
  <c r="AI10" i="3"/>
  <c r="AI8" i="3" s="1"/>
  <c r="AG7" i="6"/>
  <c r="AG9" i="6" s="1"/>
  <c r="I3" i="6" l="1"/>
  <c r="I4" i="6" s="1"/>
  <c r="AJ10" i="3"/>
  <c r="AJ8" i="3" s="1"/>
  <c r="AH7" i="6"/>
  <c r="AH9" i="6" s="1"/>
  <c r="J3" i="6" l="1"/>
  <c r="J4" i="6" s="1"/>
  <c r="AK10" i="3"/>
  <c r="AK8" i="3" s="1"/>
  <c r="AI7" i="6"/>
  <c r="AI9" i="6" s="1"/>
  <c r="K3" i="6" l="1"/>
  <c r="K4" i="6" s="1"/>
  <c r="AL10" i="3"/>
  <c r="AL8" i="3" s="1"/>
  <c r="AJ7" i="6"/>
  <c r="AJ9" i="6" s="1"/>
  <c r="L3" i="6" l="1"/>
  <c r="L4" i="6" s="1"/>
  <c r="C17" i="9"/>
  <c r="AK7" i="6"/>
  <c r="AK9" i="6" s="1"/>
  <c r="M3" i="6" l="1"/>
  <c r="M4" i="6" s="1"/>
  <c r="AL7" i="6"/>
  <c r="AL9" i="6" s="1"/>
  <c r="N3" i="6" l="1"/>
  <c r="N4" i="6" s="1"/>
  <c r="F9" i="9"/>
  <c r="E9" i="9"/>
  <c r="O3" i="6" l="1"/>
  <c r="O4" i="6" s="1"/>
  <c r="P3" i="6" l="1"/>
  <c r="P4" i="6" s="1"/>
  <c r="H9" i="9"/>
  <c r="G9" i="9"/>
  <c r="Q3" i="6" l="1"/>
  <c r="Q4" i="6" s="1"/>
  <c r="J9" i="9"/>
  <c r="R3" i="6" l="1"/>
  <c r="R4" i="6" s="1"/>
  <c r="I9" i="9"/>
  <c r="S3" i="6" l="1"/>
  <c r="S4" i="6" s="1"/>
  <c r="T3" i="6" l="1"/>
  <c r="T4" i="6" s="1"/>
  <c r="U3" i="6" l="1"/>
  <c r="U4" i="6" s="1"/>
  <c r="K9" i="9"/>
  <c r="V3" i="6" l="1"/>
  <c r="V4" i="6" s="1"/>
  <c r="W3" i="6" l="1"/>
  <c r="W4" i="6" s="1"/>
  <c r="X3" i="6" l="1"/>
  <c r="X4" i="6" s="1"/>
  <c r="L9" i="9"/>
  <c r="Y3" i="6" l="1"/>
  <c r="Y4" i="6" s="1"/>
  <c r="Z3" i="6" l="1"/>
  <c r="Z4" i="6" s="1"/>
  <c r="M9" i="9"/>
  <c r="AA3" i="6" l="1"/>
  <c r="AA4" i="6" s="1"/>
  <c r="AB3" i="6" l="1"/>
  <c r="AB4" i="6" s="1"/>
  <c r="AC3" i="6" l="1"/>
  <c r="AC4" i="6" s="1"/>
  <c r="N9" i="9"/>
  <c r="AD3" i="6" l="1"/>
  <c r="AD4" i="6" s="1"/>
  <c r="AE3" i="6" l="1"/>
  <c r="AE4" i="6" s="1"/>
  <c r="AF3" i="6" l="1"/>
  <c r="AF4" i="6" s="1"/>
  <c r="AG3" i="6" l="1"/>
  <c r="AG4" i="6" s="1"/>
  <c r="O9" i="9"/>
  <c r="AH3" i="6" l="1"/>
  <c r="AH4" i="6" s="1"/>
  <c r="P9" i="9"/>
  <c r="AI3" i="6" l="1"/>
  <c r="AI4" i="6" s="1"/>
  <c r="Q9" i="9"/>
  <c r="AJ3" i="6" l="1"/>
  <c r="AJ4" i="6" s="1"/>
  <c r="R9" i="9"/>
  <c r="AK3" i="6" l="1"/>
  <c r="AK4" i="6" s="1"/>
  <c r="S9" i="9"/>
  <c r="AL3" i="6" l="1"/>
  <c r="AL4" i="6" s="1"/>
  <c r="T9" i="9"/>
  <c r="U9" i="9" l="1"/>
  <c r="V9" i="9" l="1"/>
  <c r="W9" i="9" l="1"/>
  <c r="X9" i="9" l="1"/>
  <c r="Y9" i="9" l="1"/>
  <c r="Z9" i="9" l="1"/>
  <c r="AA9" i="9" l="1"/>
  <c r="AB9" i="9" l="1"/>
  <c r="AD9" i="9" l="1"/>
  <c r="AC9" i="9"/>
  <c r="AE9" i="9" l="1"/>
  <c r="AF9" i="9" l="1"/>
  <c r="AG9" i="9" l="1"/>
  <c r="AH9" i="9" l="1"/>
  <c r="AI9" i="9" l="1"/>
  <c r="AJ9" i="9" l="1"/>
  <c r="AK9" i="9" l="1"/>
  <c r="AL9" i="9" l="1"/>
  <c r="C9" i="9" s="1"/>
  <c r="C13" i="9"/>
  <c r="C5" i="9" l="1"/>
  <c r="AD11" i="3" l="1"/>
  <c r="F11" i="3"/>
  <c r="H11" i="3"/>
  <c r="Q11" i="3"/>
  <c r="S11" i="3"/>
  <c r="T11" i="3"/>
  <c r="AE11" i="3"/>
  <c r="AG11" i="3"/>
  <c r="G11" i="3"/>
  <c r="I11" i="3"/>
  <c r="J11" i="3"/>
  <c r="K11" i="3"/>
  <c r="L11" i="3"/>
  <c r="M11" i="3"/>
  <c r="N11" i="3"/>
  <c r="O11" i="3"/>
  <c r="P11" i="3"/>
  <c r="R11" i="3"/>
  <c r="U11" i="3"/>
  <c r="V11" i="3"/>
  <c r="W11" i="3"/>
  <c r="X11" i="3"/>
  <c r="Y11" i="3"/>
  <c r="Z11" i="3"/>
  <c r="AA11" i="3"/>
  <c r="AB11" i="3"/>
  <c r="AC11" i="3"/>
  <c r="AF11" i="3"/>
  <c r="AH11" i="3"/>
  <c r="AI11" i="3"/>
  <c r="AJ11" i="3"/>
  <c r="AK11" i="3"/>
  <c r="AL11" i="3"/>
  <c r="G13" i="3" l="1"/>
  <c r="G4" i="3" s="1"/>
  <c r="G12" i="6" s="1"/>
  <c r="G13" i="6" s="1"/>
  <c r="J13" i="3"/>
  <c r="J4" i="3" s="1"/>
  <c r="J12" i="6" s="1"/>
  <c r="J13" i="6" s="1"/>
  <c r="AD13" i="3"/>
  <c r="AD4" i="3" s="1"/>
  <c r="AD12" i="6" s="1"/>
  <c r="AD13" i="6" s="1"/>
  <c r="AJ13" i="3"/>
  <c r="AJ4" i="3" s="1"/>
  <c r="AJ12" i="6" s="1"/>
  <c r="AJ13" i="6" s="1"/>
  <c r="K13" i="3"/>
  <c r="K4" i="3" s="1"/>
  <c r="K12" i="6" s="1"/>
  <c r="K13" i="6" s="1"/>
  <c r="AF13" i="3"/>
  <c r="AF4" i="3" s="1"/>
  <c r="AF12" i="6" s="1"/>
  <c r="AF13" i="6" s="1"/>
  <c r="AG13" i="3"/>
  <c r="AG4" i="3" s="1"/>
  <c r="AG12" i="6" s="1"/>
  <c r="AG13" i="6" s="1"/>
  <c r="O13" i="3"/>
  <c r="O4" i="3" s="1"/>
  <c r="O12" i="6" s="1"/>
  <c r="O13" i="6" s="1"/>
  <c r="Y13" i="3"/>
  <c r="Y4" i="3" s="1"/>
  <c r="Y12" i="6" s="1"/>
  <c r="Y13" i="6" s="1"/>
  <c r="V13" i="3"/>
  <c r="V4" i="3" s="1"/>
  <c r="V12" i="6" s="1"/>
  <c r="V13" i="6" s="1"/>
  <c r="AL13" i="3"/>
  <c r="AL4" i="3" s="1"/>
  <c r="AL12" i="6" s="1"/>
  <c r="AL13" i="6" s="1"/>
  <c r="U13" i="3"/>
  <c r="U4" i="3" s="1"/>
  <c r="U12" i="6" s="1"/>
  <c r="U13" i="6" s="1"/>
  <c r="H13" i="3"/>
  <c r="H4" i="3" s="1"/>
  <c r="H12" i="6" s="1"/>
  <c r="H13" i="6" s="1"/>
  <c r="AE13" i="3"/>
  <c r="AE4" i="3" s="1"/>
  <c r="AE12" i="6" s="1"/>
  <c r="AE13" i="6" s="1"/>
  <c r="X13" i="3"/>
  <c r="X4" i="3" s="1"/>
  <c r="X12" i="6" s="1"/>
  <c r="X13" i="6" s="1"/>
  <c r="Q13" i="3"/>
  <c r="Q4" i="3" s="1"/>
  <c r="Q12" i="6" s="1"/>
  <c r="Q13" i="6" s="1"/>
  <c r="AA13" i="3"/>
  <c r="AA4" i="3" s="1"/>
  <c r="AA12" i="6" s="1"/>
  <c r="AA13" i="6" s="1"/>
  <c r="L13" i="3"/>
  <c r="L4" i="3" s="1"/>
  <c r="L12" i="6" s="1"/>
  <c r="L13" i="6" s="1"/>
  <c r="I13" i="3"/>
  <c r="I4" i="3" s="1"/>
  <c r="I12" i="6" s="1"/>
  <c r="I13" i="6" s="1"/>
  <c r="S13" i="3"/>
  <c r="S4" i="3" s="1"/>
  <c r="S12" i="6" s="1"/>
  <c r="S13" i="6" s="1"/>
  <c r="Z13" i="3"/>
  <c r="Z4" i="3" s="1"/>
  <c r="Z12" i="6" s="1"/>
  <c r="Z13" i="6" s="1"/>
  <c r="AK13" i="3"/>
  <c r="AK4" i="3" s="1"/>
  <c r="AK12" i="6" s="1"/>
  <c r="AK13" i="6" s="1"/>
  <c r="F13" i="3"/>
  <c r="F4" i="3" s="1"/>
  <c r="F12" i="6" s="1"/>
  <c r="F13" i="6" s="1"/>
  <c r="E13" i="3"/>
  <c r="W13" i="3"/>
  <c r="W4" i="3" s="1"/>
  <c r="W12" i="6" s="1"/>
  <c r="W13" i="6" s="1"/>
  <c r="M13" i="3"/>
  <c r="M4" i="3" s="1"/>
  <c r="M12" i="6" s="1"/>
  <c r="M13" i="6" s="1"/>
  <c r="AH13" i="3"/>
  <c r="AH4" i="3" s="1"/>
  <c r="AH12" i="6" s="1"/>
  <c r="AH13" i="6" s="1"/>
  <c r="AB13" i="3"/>
  <c r="AB4" i="3" s="1"/>
  <c r="AB12" i="6" s="1"/>
  <c r="AB13" i="6" s="1"/>
  <c r="R13" i="3"/>
  <c r="R4" i="3" s="1"/>
  <c r="R12" i="6" s="1"/>
  <c r="R13" i="6" s="1"/>
  <c r="P13" i="3"/>
  <c r="P4" i="3" s="1"/>
  <c r="P12" i="6" s="1"/>
  <c r="P13" i="6" s="1"/>
  <c r="T13" i="3"/>
  <c r="T4" i="3" s="1"/>
  <c r="T12" i="6" s="1"/>
  <c r="T13" i="6" s="1"/>
  <c r="AC13" i="3"/>
  <c r="AC4" i="3" s="1"/>
  <c r="AC12" i="6" s="1"/>
  <c r="AC13" i="6" s="1"/>
  <c r="AI13" i="3"/>
  <c r="AI4" i="3" s="1"/>
  <c r="AI12" i="6" s="1"/>
  <c r="AI13" i="6" s="1"/>
  <c r="N13" i="3"/>
  <c r="N4" i="3" s="1"/>
  <c r="N12" i="6" s="1"/>
  <c r="N13" i="6" s="1"/>
  <c r="T15" i="6" l="1"/>
  <c r="T21" i="6" s="1"/>
  <c r="F15" i="6"/>
  <c r="F21" i="6" s="1"/>
  <c r="X15" i="6"/>
  <c r="X21" i="6" s="1"/>
  <c r="AG15" i="6"/>
  <c r="AG21" i="6" s="1"/>
  <c r="O15" i="6"/>
  <c r="O21" i="6" s="1"/>
  <c r="P15" i="6"/>
  <c r="P21" i="6" s="1"/>
  <c r="AK15" i="6"/>
  <c r="AK21" i="6" s="1"/>
  <c r="AE15" i="6"/>
  <c r="AE21" i="6" s="1"/>
  <c r="AF15" i="6"/>
  <c r="AF21" i="6" s="1"/>
  <c r="R15" i="6"/>
  <c r="R21" i="6" s="1"/>
  <c r="Z15" i="6"/>
  <c r="Z21" i="6" s="1"/>
  <c r="H15" i="6"/>
  <c r="H21" i="6" s="1"/>
  <c r="K15" i="6"/>
  <c r="K21" i="6" s="1"/>
  <c r="S15" i="6"/>
  <c r="S21" i="6" s="1"/>
  <c r="U15" i="6"/>
  <c r="U21" i="6" s="1"/>
  <c r="AJ15" i="6"/>
  <c r="AJ21" i="6" s="1"/>
  <c r="AC15" i="6"/>
  <c r="AC21" i="6" s="1"/>
  <c r="AH15" i="6"/>
  <c r="AH21" i="6" s="1"/>
  <c r="I15" i="6"/>
  <c r="I21" i="6" s="1"/>
  <c r="AL15" i="6"/>
  <c r="AL21" i="6" s="1"/>
  <c r="AD15" i="6"/>
  <c r="AD21" i="6" s="1"/>
  <c r="Q15" i="6"/>
  <c r="Q21" i="6" s="1"/>
  <c r="N15" i="6"/>
  <c r="N21" i="6" s="1"/>
  <c r="L15" i="6"/>
  <c r="L21" i="6" s="1"/>
  <c r="V15" i="6"/>
  <c r="V21" i="6" s="1"/>
  <c r="J15" i="6"/>
  <c r="J21" i="6" s="1"/>
  <c r="AB15" i="6"/>
  <c r="AB21" i="6" s="1"/>
  <c r="M15" i="6"/>
  <c r="M21" i="6" s="1"/>
  <c r="AI15" i="6"/>
  <c r="AI21" i="6" s="1"/>
  <c r="W15" i="6"/>
  <c r="W21" i="6" s="1"/>
  <c r="AA15" i="6"/>
  <c r="AA21" i="6" s="1"/>
  <c r="Y15" i="6"/>
  <c r="Y21" i="6" s="1"/>
  <c r="G15" i="6"/>
  <c r="G21" i="6" s="1"/>
  <c r="E4" i="3"/>
  <c r="Y17" i="6" l="1"/>
  <c r="M17" i="6"/>
  <c r="L17" i="6"/>
  <c r="AL17" i="6"/>
  <c r="AJ17" i="6"/>
  <c r="H17" i="6"/>
  <c r="AE17" i="6"/>
  <c r="AG17" i="6"/>
  <c r="AA17" i="6"/>
  <c r="AB17" i="6"/>
  <c r="N17" i="6"/>
  <c r="I17" i="6"/>
  <c r="U17" i="6"/>
  <c r="Z17" i="6"/>
  <c r="AK17" i="6"/>
  <c r="X17" i="6"/>
  <c r="W17" i="6"/>
  <c r="J17" i="6"/>
  <c r="Q17" i="6"/>
  <c r="AH17" i="6"/>
  <c r="S17" i="6"/>
  <c r="R17" i="6"/>
  <c r="P17" i="6"/>
  <c r="F17" i="6"/>
  <c r="C4" i="3"/>
  <c r="E12" i="6"/>
  <c r="E13" i="6" s="1"/>
  <c r="G17" i="6"/>
  <c r="AI17" i="6"/>
  <c r="V17" i="6"/>
  <c r="AD17" i="6"/>
  <c r="AC17" i="6"/>
  <c r="K17" i="6"/>
  <c r="AF17" i="6"/>
  <c r="O17" i="6"/>
  <c r="T17" i="6"/>
  <c r="E15" i="6" l="1"/>
  <c r="E21" i="6" s="1"/>
  <c r="E17" i="6" l="1"/>
  <c r="O22" i="6"/>
  <c r="V22" i="6"/>
  <c r="J22" i="6"/>
  <c r="N22" i="6"/>
  <c r="S22" i="6"/>
  <c r="AJ22" i="6"/>
  <c r="X22" i="6"/>
  <c r="T22" i="6"/>
  <c r="Z22" i="6"/>
  <c r="AD22" i="6"/>
  <c r="AE22" i="6"/>
  <c r="R22" i="6"/>
  <c r="K22" i="6"/>
  <c r="H22" i="6"/>
  <c r="AB22" i="6"/>
  <c r="Y22" i="6"/>
  <c r="F22" i="6"/>
  <c r="AH22" i="6"/>
  <c r="AF22" i="6"/>
  <c r="I22" i="6"/>
  <c r="E22" i="6"/>
  <c r="Q22" i="6"/>
  <c r="W22" i="6"/>
  <c r="C4" i="15" s="1"/>
  <c r="B1" i="15" s="1"/>
  <c r="AI22" i="6"/>
  <c r="AK22" i="6"/>
  <c r="AG22" i="6"/>
  <c r="U22" i="6"/>
  <c r="AL22" i="6"/>
  <c r="L22" i="6"/>
  <c r="G22" i="6"/>
  <c r="P22" i="6"/>
  <c r="M22" i="6"/>
  <c r="AA22" i="6"/>
  <c r="AC22" i="6"/>
</calcChain>
</file>

<file path=xl/sharedStrings.xml><?xml version="1.0" encoding="utf-8"?>
<sst xmlns="http://schemas.openxmlformats.org/spreadsheetml/2006/main" count="466" uniqueCount="251">
  <si>
    <t>Depreciation</t>
  </si>
  <si>
    <t>Plant Proper EPC</t>
  </si>
  <si>
    <t>Gas Interconnect</t>
  </si>
  <si>
    <t>Equipment Spares</t>
  </si>
  <si>
    <t>Owner's Contingency</t>
  </si>
  <si>
    <t>Mobilization and Startup</t>
  </si>
  <si>
    <t>Development Expenses</t>
  </si>
  <si>
    <t>Legal Fees</t>
  </si>
  <si>
    <t>Financing Fees</t>
  </si>
  <si>
    <t>Interest During Construction</t>
  </si>
  <si>
    <t>Permits</t>
  </si>
  <si>
    <t>Site O&amp;M Labor</t>
  </si>
  <si>
    <t>O&amp;M Contract Parts and Labor</t>
  </si>
  <si>
    <t>Electric Purchases</t>
  </si>
  <si>
    <t>Insurance</t>
  </si>
  <si>
    <t>General and Administrative Expenses</t>
  </si>
  <si>
    <t>Property Taxes</t>
  </si>
  <si>
    <t>Employee Training Expenses</t>
  </si>
  <si>
    <t>Gas Transport Demand Charge</t>
  </si>
  <si>
    <t>LTSA Fixed Fee</t>
  </si>
  <si>
    <t>Major Maintenance</t>
  </si>
  <si>
    <t>O&amp;M Management Fees</t>
  </si>
  <si>
    <t>Property Lease</t>
  </si>
  <si>
    <t>Construction Period/Upfront Land Lease</t>
  </si>
  <si>
    <t>Decommissioning Bond Costs</t>
  </si>
  <si>
    <t>Electric Interconnect/System Upgrades</t>
  </si>
  <si>
    <t>Land Purchase/Land Reservation Payment</t>
  </si>
  <si>
    <t>Sales Tax</t>
  </si>
  <si>
    <t>Water and Sewer Connection</t>
  </si>
  <si>
    <t>Depreciation Schedule ($ in 000s)</t>
  </si>
  <si>
    <t>Requested Minimum Sell Offer ($/MW-Day ICAP)</t>
  </si>
  <si>
    <t>Requested Minimum Sell Offer ($/MW-Day UCAP)</t>
  </si>
  <si>
    <t>Capacity Type</t>
  </si>
  <si>
    <t>After-Tax Cash Flow</t>
  </si>
  <si>
    <t>Taxable Income</t>
  </si>
  <si>
    <t>Interest Expense</t>
  </si>
  <si>
    <t>Operating Income</t>
  </si>
  <si>
    <t>Initial Fuel and Other Inventory</t>
  </si>
  <si>
    <t>Total Project Cost ($/kW)</t>
  </si>
  <si>
    <t>Interest</t>
  </si>
  <si>
    <t>Default Dropdown</t>
  </si>
  <si>
    <t>Select One</t>
  </si>
  <si>
    <t>Yes</t>
  </si>
  <si>
    <t>No</t>
  </si>
  <si>
    <t>Auction Type</t>
  </si>
  <si>
    <t>Zone</t>
  </si>
  <si>
    <t>Technology Description</t>
  </si>
  <si>
    <t>AECO</t>
  </si>
  <si>
    <t>AEP</t>
  </si>
  <si>
    <t>Combined Cycle</t>
  </si>
  <si>
    <t>APS</t>
  </si>
  <si>
    <t>ATSI</t>
  </si>
  <si>
    <t>Other</t>
  </si>
  <si>
    <t>BGE</t>
  </si>
  <si>
    <t>Diesel</t>
  </si>
  <si>
    <t>COMED</t>
  </si>
  <si>
    <t>Hydro</t>
  </si>
  <si>
    <t>DAY</t>
  </si>
  <si>
    <t>Nuclear</t>
  </si>
  <si>
    <t>Resource Type</t>
  </si>
  <si>
    <t>DEOK</t>
  </si>
  <si>
    <t>DOM</t>
  </si>
  <si>
    <t>Pumped Storage</t>
  </si>
  <si>
    <t>Generation</t>
  </si>
  <si>
    <t>DPL</t>
  </si>
  <si>
    <t>Demand Resource</t>
  </si>
  <si>
    <t>DUQ</t>
  </si>
  <si>
    <t>EKPC</t>
  </si>
  <si>
    <t>JCPL</t>
  </si>
  <si>
    <t>METED</t>
  </si>
  <si>
    <t>OVEC</t>
  </si>
  <si>
    <t>Resource</t>
  </si>
  <si>
    <t>PECO</t>
  </si>
  <si>
    <t>Uprate</t>
  </si>
  <si>
    <t>PENELEC</t>
  </si>
  <si>
    <t>PEPCO</t>
  </si>
  <si>
    <t>PPL</t>
  </si>
  <si>
    <t>PSEG</t>
  </si>
  <si>
    <t>RECO</t>
  </si>
  <si>
    <t>Principal</t>
  </si>
  <si>
    <t>Loan Principal</t>
  </si>
  <si>
    <t>Loan Schedules ($ in 000s)</t>
  </si>
  <si>
    <t>Proforma Model ($ in millions)</t>
  </si>
  <si>
    <t>ICAP with Degradation (MW)</t>
  </si>
  <si>
    <t>Sell Offer Summary</t>
  </si>
  <si>
    <t>Allocation Percent</t>
  </si>
  <si>
    <t>Allocation Amount</t>
  </si>
  <si>
    <t>Start of Operation (For First Year Bonus Depreciation Determination)</t>
  </si>
  <si>
    <t>Equity Date</t>
  </si>
  <si>
    <t xml:space="preserve">Start Year of Operation </t>
  </si>
  <si>
    <t>Schedule 1</t>
  </si>
  <si>
    <t>Schedule 2</t>
  </si>
  <si>
    <t>Schedule 3</t>
  </si>
  <si>
    <t>Schedule 4</t>
  </si>
  <si>
    <t>Schedule 5</t>
  </si>
  <si>
    <t>Schedule 6</t>
  </si>
  <si>
    <t>Schedule 7</t>
  </si>
  <si>
    <t>Schedule 8</t>
  </si>
  <si>
    <t>Standard Depreciation Schedules</t>
  </si>
  <si>
    <t>Total Standard Depreciation</t>
  </si>
  <si>
    <t>Total Custom Depreciation</t>
  </si>
  <si>
    <t>Active Loan Schedule In Model</t>
  </si>
  <si>
    <t>Active Depreciation Schedule In Model</t>
  </si>
  <si>
    <t xml:space="preserve">Active Depreciation </t>
  </si>
  <si>
    <t>Zone Name</t>
  </si>
  <si>
    <t>Project Queue Number(s)</t>
  </si>
  <si>
    <t>FERC Docket Number</t>
  </si>
  <si>
    <t>Coal</t>
  </si>
  <si>
    <t>Combustion Turbine</t>
  </si>
  <si>
    <t>Battery Energy Storage</t>
  </si>
  <si>
    <t>Generation Backed Demand Resource</t>
  </si>
  <si>
    <t>Resource Name</t>
  </si>
  <si>
    <t>Project Name</t>
  </si>
  <si>
    <t>Technology</t>
  </si>
  <si>
    <t>Delivery Year</t>
  </si>
  <si>
    <t>Auction Name</t>
  </si>
  <si>
    <t>Emission Reduction Credits</t>
  </si>
  <si>
    <t>Debt (%)</t>
  </si>
  <si>
    <t>Equity (%)</t>
  </si>
  <si>
    <t>Total Project Cost ($ in 000s)</t>
  </si>
  <si>
    <t>Total Fixed O&amp;M</t>
  </si>
  <si>
    <t>Custom Loan Schedule Combined</t>
  </si>
  <si>
    <t>Custom Loan Schedule 1</t>
  </si>
  <si>
    <t>Custom Loan Schedule 2</t>
  </si>
  <si>
    <t>Custom Loan Schedule 3</t>
  </si>
  <si>
    <t>Custom Loan Schedule 4</t>
  </si>
  <si>
    <t>Custom Loan Schedule 5</t>
  </si>
  <si>
    <t>ICAP (MW)</t>
  </si>
  <si>
    <t>Reactive Capability Revenue Justification</t>
  </si>
  <si>
    <t>Qualifying Percent for Traditional MACRS Depreciation</t>
  </si>
  <si>
    <t>Debt Interest Rate (%)</t>
  </si>
  <si>
    <t>Biomass</t>
  </si>
  <si>
    <t>Landfill Gas</t>
  </si>
  <si>
    <t>Fuel Cells</t>
  </si>
  <si>
    <t>MACRS Years</t>
  </si>
  <si>
    <t>Municipal Solid Waste</t>
  </si>
  <si>
    <t>MACRS</t>
  </si>
  <si>
    <t>All Technology Depreciation Basis Guidelines</t>
  </si>
  <si>
    <t>Tax Credit Election</t>
  </si>
  <si>
    <t>Production Tax Credit</t>
  </si>
  <si>
    <t>Investment Tax Credit</t>
  </si>
  <si>
    <t>NA</t>
  </si>
  <si>
    <t>Target IRR (%)</t>
  </si>
  <si>
    <t>After-Tax XNPV</t>
  </si>
  <si>
    <t>Regulation Revenues</t>
  </si>
  <si>
    <t>Synchronized Reserves Revenues</t>
  </si>
  <si>
    <t xml:space="preserve">Nonsynchronized Reserves Revenues </t>
  </si>
  <si>
    <t xml:space="preserve">Secondary Reserves Revenues </t>
  </si>
  <si>
    <t xml:space="preserve">Other Credits </t>
  </si>
  <si>
    <t>Bilateral Revenues</t>
  </si>
  <si>
    <t>Bilateral Costs</t>
  </si>
  <si>
    <t>Reactive Capability Revenue</t>
  </si>
  <si>
    <t>ATWACC (%)</t>
  </si>
  <si>
    <t>Asset Life (For IRR-NPV Determined at End of Asset Life)</t>
  </si>
  <si>
    <t>General Escalation of Fixed O&amp;M</t>
  </si>
  <si>
    <t>Property Lease Escalation</t>
  </si>
  <si>
    <t>Property Tax Escalation</t>
  </si>
  <si>
    <t>Effective Tax Rate</t>
  </si>
  <si>
    <t>Revenues ($/MW-Year)</t>
  </si>
  <si>
    <t>Depreciation Determination</t>
  </si>
  <si>
    <t>Internal Rate of Return/NPV Results</t>
  </si>
  <si>
    <t>Gross CONE Revenue Requirements ($/MW-Day ICAP)</t>
  </si>
  <si>
    <t>Federal Income Tax Rate</t>
  </si>
  <si>
    <t>State Income Tax Rate</t>
  </si>
  <si>
    <t>Total</t>
  </si>
  <si>
    <t>Total Net Revenues ($/MW-Day ICAP)</t>
  </si>
  <si>
    <t>Total Net Revenues and Credits</t>
  </si>
  <si>
    <t>Fixed O&amp;M Determination</t>
  </si>
  <si>
    <t>Start of Construction - ITC</t>
  </si>
  <si>
    <t>Start of Construction - Non ITC</t>
  </si>
  <si>
    <t>State Gross Receipts Tax Rate</t>
  </si>
  <si>
    <t>Bonus Depreciation</t>
  </si>
  <si>
    <t>Depreciation Calculation</t>
  </si>
  <si>
    <t>Solve for Zero NPV at End of Asset Life ($ Million)</t>
  </si>
  <si>
    <t>Custom Fixed O&amp;M Expense ($ in 000s)</t>
  </si>
  <si>
    <t>Active Fixed O&amp;M Schedule in Model ($ in 000s)</t>
  </si>
  <si>
    <t>Customize Depreciation Schedule (If Yes, Update Section 8)</t>
  </si>
  <si>
    <t>Custom Depreciation Schedules</t>
  </si>
  <si>
    <t>Fixed O&amp;M Expenses ($ in 000s)</t>
  </si>
  <si>
    <t>Escalation (%)</t>
  </si>
  <si>
    <t>Other Fixed O&amp;M Escalation</t>
  </si>
  <si>
    <t>Taxes (%)</t>
  </si>
  <si>
    <t>Customize Fixed O&amp;M (If Yes, Update Section 4)</t>
  </si>
  <si>
    <t>Customize Loan Schedule (If Yes, Update Section 6. If No, Model Uses All Equity at ATWACC Discount Rate.)</t>
  </si>
  <si>
    <t>Net Energy &amp; Ancillary Services Revenues</t>
  </si>
  <si>
    <t>Energy Revenues</t>
  </si>
  <si>
    <t>Energy Efficiency Resource</t>
  </si>
  <si>
    <t>Wind - Onshore</t>
  </si>
  <si>
    <t>Wind - Offshore</t>
  </si>
  <si>
    <t>Solar PV - Fixed</t>
  </si>
  <si>
    <t>Solar PV - Tracking</t>
  </si>
  <si>
    <t>General Project Information</t>
  </si>
  <si>
    <t>Capital Costs ($ in 000s)</t>
  </si>
  <si>
    <t>Project Financial Structure</t>
  </si>
  <si>
    <t>Customize Depreciation - EE</t>
  </si>
  <si>
    <t>CP Base Residual Auction</t>
  </si>
  <si>
    <t>CP First Incremental Auction</t>
  </si>
  <si>
    <t>CP Second Incremental Auction</t>
  </si>
  <si>
    <t>CP Third Incremental Auction</t>
  </si>
  <si>
    <t>Forecast Pool Requirement (for DR and EE)</t>
  </si>
  <si>
    <t>Annual Degradation (for Solar) (%)</t>
  </si>
  <si>
    <t>Applicable ITC (%)</t>
  </si>
  <si>
    <t>Equity Amount ($ in 000s)</t>
  </si>
  <si>
    <t>Debt Amount ($ in 000s)</t>
  </si>
  <si>
    <t>Tax Basis ($ in 000s)</t>
  </si>
  <si>
    <t>Total Allowable Depreciation (%)</t>
  </si>
  <si>
    <t>Depreciable Basis ($ in 000s)</t>
  </si>
  <si>
    <t>Total ITC ($ in 000s)</t>
  </si>
  <si>
    <t>Target IRR and/or NPV Discount Rate (%)</t>
  </si>
  <si>
    <t>Federal Investment Tax Credits (ITC)</t>
  </si>
  <si>
    <t xml:space="preserve">Qualifying Percent for First Year Bonus Depreciation </t>
  </si>
  <si>
    <t>Customize ITC Basis</t>
  </si>
  <si>
    <t>Custom ITC Basis ($ in 000s)</t>
  </si>
  <si>
    <t>ITC Basis ($ in 000s)</t>
  </si>
  <si>
    <t>Revenue Requirement</t>
  </si>
  <si>
    <t>Total Fixed O&amp;M Expenses</t>
  </si>
  <si>
    <t>Income Tax</t>
  </si>
  <si>
    <t xml:space="preserve">Net Income </t>
  </si>
  <si>
    <t>Project Meets US Content Requirements</t>
  </si>
  <si>
    <t>Combined Heat and Power</t>
  </si>
  <si>
    <t>Other - Renewable</t>
  </si>
  <si>
    <t>Other - Non Renewable</t>
  </si>
  <si>
    <t>Project Meets Energy Community Requirements</t>
  </si>
  <si>
    <t>©2022, Monitoring Analytics, LLC</t>
  </si>
  <si>
    <t>Start of Construction (For ITC Safe Harbor Determination Prior to 2022)</t>
  </si>
  <si>
    <t>Project Meets Prevailing Wage and Apprenticeship (W&amp;A) Requirements</t>
  </si>
  <si>
    <t>Version 2</t>
  </si>
  <si>
    <t>Capacity Value Factor (for ELCC Resources)</t>
  </si>
  <si>
    <t>EFORd (for non ELCC Resources)</t>
  </si>
  <si>
    <t>Effective Nameplate (MW) (for ELCC Resources)</t>
  </si>
  <si>
    <t>ELCC Class Rating</t>
  </si>
  <si>
    <t>ELCC Performance Adjustment</t>
  </si>
  <si>
    <t>Capacity Interconnection Rights (MW) (for ELCC Resources)</t>
  </si>
  <si>
    <t>ELCC Type</t>
  </si>
  <si>
    <t>ELCC</t>
  </si>
  <si>
    <t>Non ELCC</t>
  </si>
  <si>
    <t>Tax Credit Eligible</t>
  </si>
  <si>
    <t>Not Tax Credit Eligible</t>
  </si>
  <si>
    <t>Tax Credit Election - Eligible</t>
  </si>
  <si>
    <t>Tax Credit Election - Not Eligible</t>
  </si>
  <si>
    <t>ITC Basis Guidelines</t>
  </si>
  <si>
    <t>Tax Credit Election - Eligible (2)</t>
  </si>
  <si>
    <t>Tax Credit Election - Not Eligible (2)</t>
  </si>
  <si>
    <t>Tax Credit Type</t>
  </si>
  <si>
    <t>Start Year of Construction or Operation</t>
  </si>
  <si>
    <t>Production Tax Credits</t>
  </si>
  <si>
    <t>Tax Credit Election - ITC Only</t>
  </si>
  <si>
    <t>Tax Credit Election - PTC Only</t>
  </si>
  <si>
    <t>ITC Only</t>
  </si>
  <si>
    <t>PTC Only</t>
  </si>
  <si>
    <t>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</si>
</sst>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_);\(#,##0.0\)"/>
    <numFmt numFmtId="165" formatCode="&quot;$&quot;#,##0.0_);\(&quot;$&quot;#,##0.0\)"/>
    <numFmt numFmtId="166" formatCode="0.0%"/>
    <numFmt numFmtId="167" formatCode="0.0"/>
    <numFmt numFmtId="168" formatCode="&quot;$&quot;#,##0.000_);\(&quot;$&quot;#,##0.000\)"/>
    <numFmt numFmtId="169" formatCode="0.000%"/>
    <numFmt numFmtId="170" formatCode="0.00000"/>
    <numFmt numFmtId="171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.5"/>
      <name val="Times New Roman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CC"/>
      <name val="Arial"/>
      <family val="2"/>
    </font>
    <font>
      <sz val="11"/>
      <color rgb="FF1F497D"/>
      <name val="Calibri"/>
      <family val="2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623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CC"/>
      </left>
      <right/>
      <top style="thick">
        <color rgb="FF0000CC"/>
      </top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 style="thick">
        <color rgb="FF0000CC"/>
      </left>
      <right/>
      <top/>
      <bottom/>
      <diagonal/>
    </border>
    <border>
      <left/>
      <right style="thick">
        <color rgb="FF0000CC"/>
      </right>
      <top/>
      <bottom/>
      <diagonal/>
    </border>
    <border>
      <left style="thick">
        <color rgb="FF0000CC"/>
      </left>
      <right/>
      <top/>
      <bottom style="thick">
        <color rgb="FF0000CC"/>
      </bottom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7" fontId="3" fillId="0" borderId="0"/>
    <xf numFmtId="0" fontId="2" fillId="0" borderId="0"/>
    <xf numFmtId="0" fontId="1" fillId="0" borderId="0"/>
  </cellStyleXfs>
  <cellXfs count="170">
    <xf numFmtId="0" fontId="0" fillId="0" borderId="0" xfId="0"/>
    <xf numFmtId="37" fontId="5" fillId="2" borderId="1" xfId="5" applyFont="1" applyFill="1" applyBorder="1" applyAlignment="1" applyProtection="1">
      <alignment wrapText="1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/>
    <xf numFmtId="0" fontId="4" fillId="0" borderId="0" xfId="3" applyFont="1" applyFill="1" applyBorder="1" applyProtection="1"/>
    <xf numFmtId="37" fontId="5" fillId="2" borderId="13" xfId="5" applyFont="1" applyFill="1" applyBorder="1" applyAlignment="1" applyProtection="1">
      <alignment wrapText="1"/>
    </xf>
    <xf numFmtId="0" fontId="4" fillId="0" borderId="8" xfId="3" applyFont="1" applyFill="1" applyBorder="1" applyProtection="1"/>
    <xf numFmtId="0" fontId="4" fillId="0" borderId="5" xfId="3" applyFont="1" applyFill="1" applyBorder="1" applyProtection="1"/>
    <xf numFmtId="0" fontId="4" fillId="0" borderId="9" xfId="3" applyFont="1" applyFill="1" applyBorder="1" applyProtection="1"/>
    <xf numFmtId="0" fontId="4" fillId="0" borderId="2" xfId="3" applyFont="1" applyFill="1" applyBorder="1" applyProtection="1"/>
    <xf numFmtId="0" fontId="4" fillId="0" borderId="3" xfId="3" applyFont="1" applyFill="1" applyBorder="1" applyProtection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8" fillId="3" borderId="0" xfId="0" applyFont="1" applyFill="1"/>
    <xf numFmtId="0" fontId="12" fillId="0" borderId="20" xfId="3" applyFont="1" applyFill="1" applyBorder="1" applyProtection="1"/>
    <xf numFmtId="9" fontId="4" fillId="0" borderId="11" xfId="0" applyNumberFormat="1" applyFont="1" applyFill="1" applyBorder="1" applyAlignment="1">
      <alignment horizontal="center"/>
    </xf>
    <xf numFmtId="9" fontId="4" fillId="0" borderId="14" xfId="0" applyNumberFormat="1" applyFont="1" applyFill="1" applyBorder="1" applyAlignment="1">
      <alignment horizontal="center"/>
    </xf>
    <xf numFmtId="9" fontId="4" fillId="0" borderId="4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37" fontId="4" fillId="0" borderId="5" xfId="5" applyFont="1" applyFill="1" applyBorder="1" applyProtection="1"/>
    <xf numFmtId="37" fontId="4" fillId="0" borderId="9" xfId="5" applyFont="1" applyFill="1" applyBorder="1" applyProtection="1"/>
    <xf numFmtId="37" fontId="4" fillId="3" borderId="0" xfId="5" applyFont="1" applyFill="1" applyProtection="1"/>
    <xf numFmtId="37" fontId="4" fillId="0" borderId="2" xfId="5" applyFont="1" applyFill="1" applyBorder="1" applyAlignment="1" applyProtection="1">
      <alignment horizontal="center"/>
    </xf>
    <xf numFmtId="37" fontId="4" fillId="0" borderId="3" xfId="5" applyFont="1" applyFill="1" applyBorder="1" applyAlignment="1" applyProtection="1">
      <alignment horizontal="center"/>
    </xf>
    <xf numFmtId="37" fontId="4" fillId="0" borderId="11" xfId="5" applyFont="1" applyFill="1" applyBorder="1" applyAlignment="1" applyProtection="1">
      <alignment horizontal="center"/>
    </xf>
    <xf numFmtId="37" fontId="4" fillId="0" borderId="0" xfId="5" applyFont="1" applyFill="1" applyBorder="1" applyProtection="1"/>
    <xf numFmtId="37" fontId="4" fillId="0" borderId="14" xfId="5" applyFont="1" applyFill="1" applyBorder="1" applyProtection="1"/>
    <xf numFmtId="37" fontId="4" fillId="0" borderId="15" xfId="5" applyFont="1" applyFill="1" applyBorder="1" applyProtection="1"/>
    <xf numFmtId="37" fontId="4" fillId="0" borderId="16" xfId="5" applyFont="1" applyFill="1" applyBorder="1" applyProtection="1"/>
    <xf numFmtId="37" fontId="4" fillId="0" borderId="17" xfId="5" applyFont="1" applyFill="1" applyBorder="1" applyProtection="1"/>
    <xf numFmtId="37" fontId="4" fillId="0" borderId="18" xfId="5" applyFont="1" applyFill="1" applyBorder="1" applyProtection="1"/>
    <xf numFmtId="37" fontId="4" fillId="0" borderId="19" xfId="5" applyFont="1" applyFill="1" applyBorder="1" applyProtection="1"/>
    <xf numFmtId="37" fontId="4" fillId="0" borderId="21" xfId="5" applyFont="1" applyFill="1" applyBorder="1" applyProtection="1"/>
    <xf numFmtId="37" fontId="4" fillId="0" borderId="22" xfId="5" applyFont="1" applyFill="1" applyBorder="1" applyProtection="1"/>
    <xf numFmtId="37" fontId="5" fillId="2" borderId="7" xfId="5" applyFont="1" applyFill="1" applyBorder="1" applyAlignment="1" applyProtection="1">
      <alignment wrapText="1"/>
    </xf>
    <xf numFmtId="0" fontId="4" fillId="0" borderId="12" xfId="3" applyFont="1" applyFill="1" applyBorder="1" applyProtection="1"/>
    <xf numFmtId="0" fontId="10" fillId="0" borderId="2" xfId="0" applyFont="1" applyFill="1" applyBorder="1" applyAlignment="1" applyProtection="1">
      <alignment horizontal="center"/>
      <protection locked="0"/>
    </xf>
    <xf numFmtId="164" fontId="10" fillId="0" borderId="2" xfId="0" applyNumberFormat="1" applyFont="1" applyFill="1" applyBorder="1" applyAlignment="1" applyProtection="1">
      <alignment horizontal="center"/>
      <protection locked="0"/>
    </xf>
    <xf numFmtId="170" fontId="10" fillId="0" borderId="2" xfId="1" applyNumberFormat="1" applyFont="1" applyFill="1" applyBorder="1" applyAlignment="1" applyProtection="1">
      <alignment horizontal="center"/>
      <protection locked="0"/>
    </xf>
    <xf numFmtId="171" fontId="10" fillId="0" borderId="2" xfId="1" applyNumberFormat="1" applyFont="1" applyFill="1" applyBorder="1" applyAlignment="1" applyProtection="1">
      <alignment horizontal="center"/>
      <protection locked="0"/>
    </xf>
    <xf numFmtId="10" fontId="10" fillId="0" borderId="2" xfId="1" applyNumberFormat="1" applyFont="1" applyFill="1" applyBorder="1" applyAlignment="1" applyProtection="1">
      <alignment horizontal="center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37" fontId="10" fillId="0" borderId="3" xfId="0" applyNumberFormat="1" applyFont="1" applyFill="1" applyBorder="1" applyAlignment="1" applyProtection="1">
      <alignment horizontal="center"/>
      <protection locked="0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8" fillId="3" borderId="0" xfId="0" applyFont="1" applyFill="1" applyProtection="1"/>
    <xf numFmtId="0" fontId="5" fillId="2" borderId="1" xfId="0" applyNumberFormat="1" applyFont="1" applyFill="1" applyBorder="1" applyProtection="1"/>
    <xf numFmtId="0" fontId="9" fillId="2" borderId="7" xfId="0" applyNumberFormat="1" applyFont="1" applyFill="1" applyBorder="1" applyProtection="1"/>
    <xf numFmtId="0" fontId="8" fillId="0" borderId="5" xfId="0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left" wrapText="1"/>
    </xf>
    <xf numFmtId="0" fontId="8" fillId="0" borderId="1" xfId="0" applyFont="1" applyFill="1" applyBorder="1" applyProtection="1"/>
    <xf numFmtId="5" fontId="4" fillId="0" borderId="7" xfId="0" applyNumberFormat="1" applyFont="1" applyFill="1" applyBorder="1" applyAlignment="1" applyProtection="1">
      <alignment horizontal="right"/>
    </xf>
    <xf numFmtId="7" fontId="4" fillId="0" borderId="7" xfId="0" applyNumberFormat="1" applyFont="1" applyFill="1" applyBorder="1" applyAlignment="1" applyProtection="1">
      <alignment horizontal="right"/>
    </xf>
    <xf numFmtId="5" fontId="8" fillId="3" borderId="0" xfId="0" applyNumberFormat="1" applyFont="1" applyFill="1" applyProtection="1"/>
    <xf numFmtId="0" fontId="8" fillId="0" borderId="0" xfId="0" applyFont="1" applyFill="1" applyBorder="1" applyProtection="1"/>
    <xf numFmtId="5" fontId="4" fillId="0" borderId="0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/>
    </xf>
    <xf numFmtId="0" fontId="5" fillId="2" borderId="1" xfId="0" applyFont="1" applyFill="1" applyBorder="1" applyProtection="1"/>
    <xf numFmtId="0" fontId="5" fillId="2" borderId="7" xfId="0" applyNumberFormat="1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10" fontId="10" fillId="0" borderId="14" xfId="1" applyNumberFormat="1" applyFont="1" applyFill="1" applyBorder="1" applyAlignment="1" applyProtection="1">
      <alignment horizontal="center"/>
    </xf>
    <xf numFmtId="169" fontId="8" fillId="3" borderId="0" xfId="1" applyNumberFormat="1" applyFont="1" applyFill="1" applyProtection="1"/>
    <xf numFmtId="0" fontId="7" fillId="0" borderId="0" xfId="0" applyFont="1" applyFill="1" applyBorder="1" applyProtection="1"/>
    <xf numFmtId="0" fontId="8" fillId="0" borderId="2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8" fillId="0" borderId="12" xfId="0" applyFont="1" applyFill="1" applyBorder="1" applyAlignment="1" applyProtection="1">
      <alignment horizontal="left"/>
    </xf>
    <xf numFmtId="0" fontId="8" fillId="0" borderId="8" xfId="0" applyFont="1" applyFill="1" applyBorder="1" applyProtection="1"/>
    <xf numFmtId="0" fontId="8" fillId="0" borderId="5" xfId="0" applyFont="1" applyFill="1" applyBorder="1" applyProtection="1"/>
    <xf numFmtId="0" fontId="8" fillId="0" borderId="9" xfId="0" applyFont="1" applyFill="1" applyBorder="1" applyProtection="1"/>
    <xf numFmtId="0" fontId="8" fillId="0" borderId="7" xfId="0" applyFont="1" applyFill="1" applyBorder="1" applyAlignment="1" applyProtection="1">
      <alignment horizontal="left"/>
    </xf>
    <xf numFmtId="0" fontId="8" fillId="0" borderId="13" xfId="0" applyFont="1" applyFill="1" applyBorder="1" applyProtection="1"/>
    <xf numFmtId="5" fontId="8" fillId="0" borderId="13" xfId="0" applyNumberFormat="1" applyFont="1" applyFill="1" applyBorder="1" applyAlignment="1" applyProtection="1">
      <alignment horizontal="center"/>
    </xf>
    <xf numFmtId="0" fontId="4" fillId="0" borderId="2" xfId="6" applyFont="1" applyFill="1" applyBorder="1" applyAlignment="1" applyProtection="1">
      <alignment horizontal="left"/>
    </xf>
    <xf numFmtId="0" fontId="4" fillId="0" borderId="3" xfId="6" applyFont="1" applyFill="1" applyBorder="1" applyAlignment="1" applyProtection="1">
      <alignment horizontal="left"/>
    </xf>
    <xf numFmtId="10" fontId="8" fillId="0" borderId="13" xfId="1" applyNumberFormat="1" applyFont="1" applyFill="1" applyBorder="1" applyAlignment="1" applyProtection="1">
      <alignment horizontal="center"/>
    </xf>
    <xf numFmtId="5" fontId="8" fillId="0" borderId="0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center"/>
    </xf>
    <xf numFmtId="7" fontId="8" fillId="3" borderId="0" xfId="0" applyNumberFormat="1" applyFont="1" applyFill="1" applyProtection="1"/>
    <xf numFmtId="0" fontId="8" fillId="0" borderId="12" xfId="0" applyFont="1" applyFill="1" applyBorder="1" applyProtection="1"/>
    <xf numFmtId="0" fontId="8" fillId="0" borderId="3" xfId="0" applyFont="1" applyFill="1" applyBorder="1" applyProtection="1"/>
    <xf numFmtId="37" fontId="5" fillId="2" borderId="13" xfId="5" applyFont="1" applyFill="1" applyBorder="1" applyAlignment="1" applyProtection="1">
      <alignment horizontal="right" wrapText="1"/>
    </xf>
    <xf numFmtId="9" fontId="8" fillId="0" borderId="0" xfId="0" applyNumberFormat="1" applyFont="1" applyFill="1" applyBorder="1" applyAlignment="1">
      <alignment horizontal="center"/>
    </xf>
    <xf numFmtId="9" fontId="4" fillId="0" borderId="0" xfId="5" applyNumberFormat="1" applyFont="1" applyFill="1" applyBorder="1" applyAlignment="1" applyProtection="1">
      <alignment horizontal="center"/>
    </xf>
    <xf numFmtId="9" fontId="4" fillId="0" borderId="6" xfId="5" applyNumberFormat="1" applyFont="1" applyFill="1" applyBorder="1" applyAlignment="1" applyProtection="1">
      <alignment horizontal="center"/>
    </xf>
    <xf numFmtId="9" fontId="4" fillId="0" borderId="14" xfId="5" applyNumberFormat="1" applyFont="1" applyFill="1" applyBorder="1" applyAlignment="1" applyProtection="1">
      <alignment horizontal="center"/>
    </xf>
    <xf numFmtId="9" fontId="4" fillId="0" borderId="4" xfId="5" applyNumberFormat="1" applyFont="1" applyFill="1" applyBorder="1" applyAlignment="1" applyProtection="1">
      <alignment horizontal="center"/>
    </xf>
    <xf numFmtId="9" fontId="8" fillId="0" borderId="14" xfId="0" applyNumberFormat="1" applyFont="1" applyFill="1" applyBorder="1" applyAlignment="1">
      <alignment horizontal="center"/>
    </xf>
    <xf numFmtId="10" fontId="10" fillId="0" borderId="2" xfId="1" applyNumberFormat="1" applyFont="1" applyFill="1" applyBorder="1" applyAlignment="1" applyProtection="1">
      <alignment horizontal="right"/>
      <protection locked="0"/>
    </xf>
    <xf numFmtId="10" fontId="10" fillId="0" borderId="3" xfId="1" applyNumberFormat="1" applyFont="1" applyFill="1" applyBorder="1" applyAlignment="1" applyProtection="1">
      <alignment horizontal="right"/>
      <protection locked="0"/>
    </xf>
    <xf numFmtId="5" fontId="4" fillId="0" borderId="12" xfId="0" applyNumberFormat="1" applyFont="1" applyFill="1" applyBorder="1" applyAlignment="1" applyProtection="1">
      <alignment horizontal="right"/>
    </xf>
    <xf numFmtId="5" fontId="4" fillId="0" borderId="2" xfId="0" applyNumberFormat="1" applyFont="1" applyFill="1" applyBorder="1" applyAlignment="1" applyProtection="1">
      <alignment horizontal="right"/>
    </xf>
    <xf numFmtId="5" fontId="10" fillId="0" borderId="2" xfId="2" applyNumberFormat="1" applyFont="1" applyFill="1" applyBorder="1" applyAlignment="1" applyProtection="1">
      <alignment horizontal="right"/>
      <protection locked="0"/>
    </xf>
    <xf numFmtId="165" fontId="8" fillId="0" borderId="2" xfId="0" applyNumberFormat="1" applyFont="1" applyFill="1" applyBorder="1" applyAlignment="1" applyProtection="1">
      <alignment horizontal="right"/>
    </xf>
    <xf numFmtId="165" fontId="4" fillId="0" borderId="2" xfId="0" applyNumberFormat="1" applyFont="1" applyFill="1" applyBorder="1" applyAlignment="1" applyProtection="1">
      <alignment horizontal="right"/>
    </xf>
    <xf numFmtId="165" fontId="8" fillId="0" borderId="3" xfId="0" applyNumberFormat="1" applyFont="1" applyFill="1" applyBorder="1" applyAlignment="1" applyProtection="1">
      <alignment horizontal="right"/>
    </xf>
    <xf numFmtId="165" fontId="4" fillId="0" borderId="3" xfId="0" applyNumberFormat="1" applyFont="1" applyFill="1" applyBorder="1" applyAlignment="1" applyProtection="1">
      <alignment horizontal="right"/>
    </xf>
    <xf numFmtId="165" fontId="8" fillId="0" borderId="12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 applyProtection="1">
      <alignment horizontal="right"/>
      <protection locked="0"/>
    </xf>
    <xf numFmtId="165" fontId="10" fillId="0" borderId="12" xfId="0" applyNumberFormat="1" applyFont="1" applyFill="1" applyBorder="1" applyAlignment="1" applyProtection="1">
      <alignment horizontal="right"/>
      <protection locked="0"/>
    </xf>
    <xf numFmtId="165" fontId="10" fillId="0" borderId="3" xfId="0" applyNumberFormat="1" applyFont="1" applyFill="1" applyBorder="1" applyAlignment="1" applyProtection="1">
      <alignment horizontal="right"/>
      <protection locked="0"/>
    </xf>
    <xf numFmtId="5" fontId="8" fillId="0" borderId="7" xfId="0" applyNumberFormat="1" applyFont="1" applyFill="1" applyBorder="1" applyAlignment="1" applyProtection="1">
      <alignment horizontal="right"/>
    </xf>
    <xf numFmtId="10" fontId="8" fillId="0" borderId="2" xfId="1" applyNumberFormat="1" applyFont="1" applyFill="1" applyBorder="1" applyAlignment="1" applyProtection="1">
      <alignment horizontal="right"/>
    </xf>
    <xf numFmtId="10" fontId="8" fillId="0" borderId="2" xfId="2" applyNumberFormat="1" applyFont="1" applyFill="1" applyBorder="1" applyAlignment="1" applyProtection="1">
      <alignment horizontal="right"/>
    </xf>
    <xf numFmtId="10" fontId="8" fillId="0" borderId="3" xfId="1" applyNumberFormat="1" applyFont="1" applyFill="1" applyBorder="1" applyAlignment="1" applyProtection="1">
      <alignment horizontal="right"/>
    </xf>
    <xf numFmtId="10" fontId="8" fillId="0" borderId="3" xfId="2" applyNumberFormat="1" applyFont="1" applyFill="1" applyBorder="1" applyAlignment="1" applyProtection="1">
      <alignment horizontal="right"/>
    </xf>
    <xf numFmtId="5" fontId="4" fillId="0" borderId="2" xfId="2" applyNumberFormat="1" applyFont="1" applyFill="1" applyBorder="1" applyAlignment="1" applyProtection="1">
      <alignment horizontal="right"/>
    </xf>
    <xf numFmtId="5" fontId="4" fillId="0" borderId="3" xfId="2" applyNumberFormat="1" applyFont="1" applyFill="1" applyBorder="1" applyAlignment="1" applyProtection="1">
      <alignment horizontal="right"/>
    </xf>
    <xf numFmtId="5" fontId="10" fillId="0" borderId="3" xfId="2" applyNumberFormat="1" applyFont="1" applyFill="1" applyBorder="1" applyAlignment="1" applyProtection="1">
      <alignment horizontal="right"/>
      <protection locked="0"/>
    </xf>
    <xf numFmtId="7" fontId="10" fillId="0" borderId="2" xfId="0" applyNumberFormat="1" applyFont="1" applyFill="1" applyBorder="1" applyAlignment="1" applyProtection="1">
      <alignment horizontal="right"/>
      <protection locked="0"/>
    </xf>
    <xf numFmtId="7" fontId="4" fillId="0" borderId="2" xfId="0" applyNumberFormat="1" applyFont="1" applyFill="1" applyBorder="1" applyAlignment="1" applyProtection="1">
      <alignment horizontal="right"/>
    </xf>
    <xf numFmtId="7" fontId="4" fillId="0" borderId="3" xfId="0" applyNumberFormat="1" applyFont="1" applyFill="1" applyBorder="1" applyAlignment="1" applyProtection="1">
      <alignment horizontal="right"/>
    </xf>
    <xf numFmtId="169" fontId="4" fillId="0" borderId="2" xfId="1" applyNumberFormat="1" applyFont="1" applyFill="1" applyBorder="1" applyAlignment="1" applyProtection="1">
      <alignment horizontal="right"/>
    </xf>
    <xf numFmtId="168" fontId="4" fillId="0" borderId="3" xfId="1" applyNumberFormat="1" applyFont="1" applyFill="1" applyBorder="1" applyAlignment="1" applyProtection="1">
      <alignment horizontal="right"/>
    </xf>
    <xf numFmtId="5" fontId="8" fillId="0" borderId="12" xfId="0" applyNumberFormat="1" applyFont="1" applyFill="1" applyBorder="1" applyAlignment="1" applyProtection="1">
      <alignment horizontal="right"/>
    </xf>
    <xf numFmtId="5" fontId="8" fillId="0" borderId="3" xfId="0" applyNumberFormat="1" applyFont="1" applyFill="1" applyBorder="1" applyAlignment="1" applyProtection="1">
      <alignment horizontal="right"/>
    </xf>
    <xf numFmtId="10" fontId="4" fillId="0" borderId="2" xfId="0" applyNumberFormat="1" applyFont="1" applyFill="1" applyBorder="1" applyAlignment="1" applyProtection="1">
      <alignment horizontal="right"/>
    </xf>
    <xf numFmtId="10" fontId="4" fillId="0" borderId="2" xfId="1" applyNumberFormat="1" applyFont="1" applyFill="1" applyBorder="1" applyAlignment="1" applyProtection="1">
      <alignment horizontal="right"/>
    </xf>
    <xf numFmtId="0" fontId="8" fillId="0" borderId="2" xfId="0" applyFont="1" applyFill="1" applyBorder="1" applyProtection="1"/>
    <xf numFmtId="5" fontId="8" fillId="0" borderId="2" xfId="1" applyNumberFormat="1" applyFont="1" applyFill="1" applyBorder="1" applyAlignment="1" applyProtection="1">
      <alignment horizontal="right"/>
    </xf>
    <xf numFmtId="0" fontId="10" fillId="0" borderId="12" xfId="0" applyFont="1" applyFill="1" applyBorder="1" applyAlignment="1" applyProtection="1">
      <alignment horizontal="center"/>
      <protection locked="0"/>
    </xf>
    <xf numFmtId="0" fontId="12" fillId="0" borderId="0" xfId="3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66" fontId="4" fillId="0" borderId="0" xfId="0" applyNumberFormat="1" applyFont="1" applyFill="1" applyBorder="1" applyProtection="1"/>
    <xf numFmtId="0" fontId="5" fillId="2" borderId="12" xfId="0" applyNumberFormat="1" applyFont="1" applyFill="1" applyBorder="1" applyAlignment="1" applyProtection="1">
      <alignment horizontal="center"/>
    </xf>
    <xf numFmtId="14" fontId="5" fillId="2" borderId="3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Protection="1"/>
    <xf numFmtId="14" fontId="4" fillId="0" borderId="2" xfId="0" applyNumberFormat="1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Protection="1"/>
    <xf numFmtId="168" fontId="4" fillId="0" borderId="2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168" fontId="4" fillId="0" borderId="3" xfId="0" applyNumberFormat="1" applyFont="1" applyFill="1" applyBorder="1" applyProtection="1"/>
    <xf numFmtId="168" fontId="4" fillId="0" borderId="3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168" fontId="6" fillId="0" borderId="3" xfId="1" applyNumberFormat="1" applyFont="1" applyFill="1" applyBorder="1" applyAlignment="1" applyProtection="1">
      <alignment horizontal="center"/>
    </xf>
    <xf numFmtId="168" fontId="4" fillId="0" borderId="3" xfId="1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Protection="1"/>
    <xf numFmtId="0" fontId="4" fillId="3" borderId="0" xfId="0" applyFont="1" applyFill="1" applyProtection="1"/>
    <xf numFmtId="165" fontId="4" fillId="3" borderId="0" xfId="0" applyNumberFormat="1" applyFont="1" applyFill="1" applyProtection="1"/>
    <xf numFmtId="0" fontId="8" fillId="0" borderId="5" xfId="0" applyFont="1" applyFill="1" applyBorder="1" applyAlignment="1" applyProtection="1">
      <alignment wrapText="1"/>
    </xf>
    <xf numFmtId="10" fontId="4" fillId="0" borderId="3" xfId="0" applyNumberFormat="1" applyFont="1" applyFill="1" applyBorder="1" applyAlignment="1" applyProtection="1">
      <alignment horizontal="left"/>
    </xf>
    <xf numFmtId="4" fontId="10" fillId="0" borderId="2" xfId="1" applyNumberFormat="1" applyFont="1" applyFill="1" applyBorder="1" applyAlignment="1" applyProtection="1">
      <alignment horizontal="center"/>
      <protection locked="0"/>
    </xf>
    <xf numFmtId="0" fontId="4" fillId="0" borderId="11" xfId="3" applyFont="1" applyFill="1" applyBorder="1" applyProtection="1"/>
    <xf numFmtId="0" fontId="4" fillId="0" borderId="14" xfId="3" applyFont="1" applyFill="1" applyBorder="1" applyProtection="1"/>
    <xf numFmtId="9" fontId="4" fillId="0" borderId="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37" fontId="5" fillId="2" borderId="10" xfId="5" applyFont="1" applyFill="1" applyBorder="1" applyAlignment="1" applyProtection="1">
      <alignment wrapText="1"/>
    </xf>
    <xf numFmtId="37" fontId="4" fillId="0" borderId="6" xfId="5" applyFont="1" applyFill="1" applyBorder="1" applyAlignment="1" applyProtection="1"/>
    <xf numFmtId="37" fontId="4" fillId="0" borderId="4" xfId="5" applyFont="1" applyFill="1" applyBorder="1" applyAlignment="1" applyProtection="1"/>
    <xf numFmtId="170" fontId="4" fillId="0" borderId="2" xfId="1" applyNumberFormat="1" applyFont="1" applyFill="1" applyBorder="1" applyAlignment="1" applyProtection="1">
      <alignment horizontal="center"/>
    </xf>
    <xf numFmtId="0" fontId="11" fillId="0" borderId="0" xfId="3" applyFont="1" applyFill="1" applyBorder="1" applyProtection="1"/>
    <xf numFmtId="0" fontId="10" fillId="0" borderId="3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</cellXfs>
  <cellStyles count="8">
    <cellStyle name="Comma 2" xfId="4"/>
    <cellStyle name="Normal" xfId="0" builtinId="0"/>
    <cellStyle name="Normal 2" xfId="3"/>
    <cellStyle name="Normal 2 2" xfId="7"/>
    <cellStyle name="Normal_PEI Proforma of CPV NJ MOPR Project 4-22-12 Version 1" xfId="6"/>
    <cellStyle name="Normal_PJM 2004 SOM CONE Combined Cycle Plant 1-12-05 Version 1" xfId="5"/>
    <cellStyle name="Percent" xfId="1" builtinId="5"/>
    <cellStyle name="Percent 2" xfId="2"/>
  </cellStyles>
  <dxfs count="11">
    <dxf>
      <font>
        <color rgb="FFE6E6E6"/>
      </font>
      <fill>
        <patternFill>
          <bgColor rgb="FFE6E6E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 patternType="solid"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6E6E6"/>
      <color rgb="FFDDDDDD"/>
      <color rgb="FFEAEAEA"/>
      <color rgb="FF0000CC"/>
      <color rgb="FFA6A6A6"/>
      <color rgb="FF076233"/>
      <color rgb="FF0000FF"/>
      <color rgb="FF00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0"/>
  <sheetViews>
    <sheetView showGridLines="0" tabSelected="1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103.7109375" style="47" customWidth="1"/>
    <col min="3" max="3" width="40.7109375" style="47" customWidth="1"/>
    <col min="4" max="4" width="10.7109375" style="47" customWidth="1"/>
    <col min="5" max="16384" width="8.85546875" style="47" hidden="1"/>
  </cols>
  <sheetData>
    <row r="1" spans="1:4" ht="16.149999999999999" customHeight="1" thickBot="1" x14ac:dyDescent="0.25">
      <c r="A1" s="57" t="s">
        <v>226</v>
      </c>
      <c r="B1" s="57"/>
      <c r="C1" s="57"/>
      <c r="D1" s="57"/>
    </row>
    <row r="2" spans="1:4" ht="16.149999999999999" customHeight="1" thickBot="1" x14ac:dyDescent="0.3">
      <c r="A2" s="57"/>
      <c r="B2" s="48" t="s">
        <v>191</v>
      </c>
      <c r="C2" s="49"/>
      <c r="D2" s="57"/>
    </row>
    <row r="3" spans="1:4" ht="16.149999999999999" customHeight="1" x14ac:dyDescent="0.2">
      <c r="A3" s="57"/>
      <c r="B3" s="50" t="s">
        <v>114</v>
      </c>
      <c r="C3" s="37" t="s">
        <v>250</v>
      </c>
      <c r="D3" s="57"/>
    </row>
    <row r="4" spans="1:4" ht="16.149999999999999" customHeight="1" x14ac:dyDescent="0.2">
      <c r="A4" s="57"/>
      <c r="B4" s="50" t="s">
        <v>115</v>
      </c>
      <c r="C4" s="37" t="s">
        <v>195</v>
      </c>
      <c r="D4" s="57"/>
    </row>
    <row r="5" spans="1:4" ht="16.149999999999999" customHeight="1" x14ac:dyDescent="0.2">
      <c r="A5" s="57"/>
      <c r="B5" s="50" t="s">
        <v>106</v>
      </c>
      <c r="C5" s="37"/>
      <c r="D5" s="57"/>
    </row>
    <row r="6" spans="1:4" ht="16.149999999999999" customHeight="1" x14ac:dyDescent="0.2">
      <c r="A6" s="57"/>
      <c r="B6" s="50" t="s">
        <v>59</v>
      </c>
      <c r="C6" s="37" t="s">
        <v>63</v>
      </c>
      <c r="D6" s="57"/>
    </row>
    <row r="7" spans="1:4" ht="16.149999999999999" customHeight="1" x14ac:dyDescent="0.2">
      <c r="A7" s="57"/>
      <c r="B7" s="50" t="s">
        <v>111</v>
      </c>
      <c r="C7" s="37"/>
      <c r="D7" s="57"/>
    </row>
    <row r="8" spans="1:4" ht="16.149999999999999" customHeight="1" x14ac:dyDescent="0.2">
      <c r="A8" s="57"/>
      <c r="B8" s="50" t="s">
        <v>112</v>
      </c>
      <c r="C8" s="37"/>
      <c r="D8" s="57"/>
    </row>
    <row r="9" spans="1:4" ht="16.149999999999999" customHeight="1" x14ac:dyDescent="0.2">
      <c r="A9" s="57"/>
      <c r="B9" s="50" t="s">
        <v>105</v>
      </c>
      <c r="C9" s="37"/>
      <c r="D9" s="57"/>
    </row>
    <row r="10" spans="1:4" ht="16.149999999999999" customHeight="1" x14ac:dyDescent="0.2">
      <c r="A10" s="57"/>
      <c r="B10" s="50" t="s">
        <v>104</v>
      </c>
      <c r="C10" s="37" t="s">
        <v>47</v>
      </c>
      <c r="D10" s="57"/>
    </row>
    <row r="11" spans="1:4" ht="16.149999999999999" customHeight="1" x14ac:dyDescent="0.2">
      <c r="A11" s="57"/>
      <c r="B11" s="50" t="s">
        <v>32</v>
      </c>
      <c r="C11" s="37" t="s">
        <v>71</v>
      </c>
      <c r="D11" s="57"/>
    </row>
    <row r="12" spans="1:4" ht="16.149999999999999" customHeight="1" x14ac:dyDescent="0.2">
      <c r="A12" s="57"/>
      <c r="B12" s="50" t="s">
        <v>113</v>
      </c>
      <c r="C12" s="37" t="s">
        <v>108</v>
      </c>
      <c r="D12" s="57" t="str">
        <f>IF(ISERROR(VLOOKUP(C12,DropDown!B9:F29,5,FALSE)),"",IF(VLOOKUP(C12,DropDown!B9:F29,5,FALSE)&lt;&gt;C6,"Check",""))</f>
        <v/>
      </c>
    </row>
    <row r="13" spans="1:4" ht="16.149999999999999" customHeight="1" x14ac:dyDescent="0.2">
      <c r="A13" s="57"/>
      <c r="B13" s="50" t="s">
        <v>127</v>
      </c>
      <c r="C13" s="38">
        <v>357</v>
      </c>
      <c r="D13" s="57"/>
    </row>
    <row r="14" spans="1:4" ht="16.149999999999999" customHeight="1" x14ac:dyDescent="0.2">
      <c r="A14" s="57"/>
      <c r="B14" s="51" t="s">
        <v>228</v>
      </c>
      <c r="C14" s="39"/>
      <c r="D14" s="57" t="str">
        <f>IF(AND(OR(C6&lt;&gt;"Generation",VLOOKUP($C$12,DropDown!$B$9:$C$29,2,FALSE)="ELCC"),C14&lt;&gt;""),"Check","")</f>
        <v/>
      </c>
    </row>
    <row r="15" spans="1:4" ht="16.149999999999999" customHeight="1" x14ac:dyDescent="0.2">
      <c r="A15" s="57"/>
      <c r="B15" s="51" t="s">
        <v>229</v>
      </c>
      <c r="C15" s="38"/>
      <c r="D15" s="57" t="str">
        <f>IF(AND(OR($C$6&lt;&gt;"Generation",VLOOKUP($C$12,DropDown!$B$9:$C$29,2,FALSE)="Non ELCC"),C15&lt;&gt;""),"Check","")</f>
        <v/>
      </c>
    </row>
    <row r="16" spans="1:4" ht="16.149999999999999" customHeight="1" x14ac:dyDescent="0.2">
      <c r="A16" s="57"/>
      <c r="B16" s="51" t="s">
        <v>232</v>
      </c>
      <c r="C16" s="38"/>
      <c r="D16" s="57" t="str">
        <f>IF(AND(OR($C$6&lt;&gt;"Generation",VLOOKUP($C$12,DropDown!$B$9:$C$29,2,FALSE)="Non ELCC"),C16&lt;&gt;""),"Check","")</f>
        <v/>
      </c>
    </row>
    <row r="17" spans="1:4" ht="16.149999999999999" customHeight="1" x14ac:dyDescent="0.2">
      <c r="A17" s="57"/>
      <c r="B17" s="51" t="s">
        <v>230</v>
      </c>
      <c r="C17" s="153"/>
      <c r="D17" s="57" t="str">
        <f>IF(AND(OR($C$6&lt;&gt;"Generation",VLOOKUP($C$12,DropDown!$B$9:$C$29,2,FALSE)="Non ELCC"),C17&lt;&gt;""),"Check","")</f>
        <v/>
      </c>
    </row>
    <row r="18" spans="1:4" ht="16.149999999999999" customHeight="1" x14ac:dyDescent="0.2">
      <c r="A18" s="57"/>
      <c r="B18" s="51" t="s">
        <v>231</v>
      </c>
      <c r="C18" s="153"/>
      <c r="D18" s="57" t="str">
        <f>IF(AND(OR($C$6&lt;&gt;"Generation",VLOOKUP($C$12,DropDown!$B$9:$C$29,2,FALSE)="Non ELCC"),C18&lt;&gt;""),"Check","")</f>
        <v/>
      </c>
    </row>
    <row r="19" spans="1:4" ht="16.149999999999999" customHeight="1" x14ac:dyDescent="0.2">
      <c r="A19" s="57"/>
      <c r="B19" s="51" t="s">
        <v>227</v>
      </c>
      <c r="C19" s="162" t="str">
        <f>IFERROR(MIN(C16,C15*C17*C18)/C15,"")</f>
        <v/>
      </c>
      <c r="D19" s="57" t="str">
        <f>IF(AND(OR($C$6&lt;&gt;"Generation",VLOOKUP($C$12,DropDown!$B$9:$C$29,2,FALSE)="Non ELCC"),C19&lt;&gt;""),"Check","")</f>
        <v/>
      </c>
    </row>
    <row r="20" spans="1:4" ht="16.149999999999999" customHeight="1" x14ac:dyDescent="0.2">
      <c r="A20" s="57"/>
      <c r="B20" s="51" t="s">
        <v>199</v>
      </c>
      <c r="C20" s="40"/>
      <c r="D20" s="57" t="str">
        <f>IF(AND(Section1!$C$6&lt;&gt;"Demand Resource",Section1!$C$6&lt;&gt;"Energy Efficiency Resource",C20&lt;&gt;""),"Check","")</f>
        <v/>
      </c>
    </row>
    <row r="21" spans="1:4" ht="16.149999999999999" customHeight="1" x14ac:dyDescent="0.2">
      <c r="A21" s="57"/>
      <c r="B21" s="50" t="s">
        <v>200</v>
      </c>
      <c r="C21" s="41"/>
      <c r="D21" s="57" t="str">
        <f>IF(AND(OR($C$6&lt;&gt;"Generation",NOT(ISNUMBER(SEARCH("Solar",Section1!$C$12)))),C21&lt;&gt;""),"Check","")</f>
        <v/>
      </c>
    </row>
    <row r="22" spans="1:4" ht="16.149999999999999" customHeight="1" x14ac:dyDescent="0.2">
      <c r="A22" s="57"/>
      <c r="B22" s="50" t="s">
        <v>138</v>
      </c>
      <c r="C22" s="41" t="s">
        <v>141</v>
      </c>
      <c r="D22" s="57" t="str">
        <f>IF(ISERROR(VLOOKUP($C$12,DropDown!$B$9:$D$29,3,FALSE)),"",IF(AND(OR(VLOOKUP($C$12,DropDown!$B$9:$D$29,3,FALSE)="Not Tax Credit Eligible",VLOOKUP($C$12,DropDown!$B$9:$D$29,3,FALSE)="PTC Only"),C22="Investment Tax Credit"),"Check",IF(AND(OR(VLOOKUP($C$12,DropDown!$B$9:$D$29,3,FALSE)="Not Tax Credit Eligible",VLOOKUP($C$12,DropDown!$B$9:$D$29,3,FALSE)="ITC Only"),C22="Production Tax Credit"),"Check","")))</f>
        <v/>
      </c>
    </row>
    <row r="23" spans="1:4" ht="16.149999999999999" customHeight="1" x14ac:dyDescent="0.2">
      <c r="A23" s="57"/>
      <c r="B23" s="151" t="s">
        <v>224</v>
      </c>
      <c r="C23" s="42" t="s">
        <v>141</v>
      </c>
      <c r="D23" s="57" t="str">
        <f>IF(AND($C$22&lt;&gt;"Investment Tax Credit",ISNUMBER(C23)),"Check","")</f>
        <v/>
      </c>
    </row>
    <row r="24" spans="1:4" ht="16.149999999999999" customHeight="1" x14ac:dyDescent="0.2">
      <c r="A24" s="57"/>
      <c r="B24" s="50" t="s">
        <v>87</v>
      </c>
      <c r="C24" s="42">
        <v>2026</v>
      </c>
      <c r="D24" s="57"/>
    </row>
    <row r="25" spans="1:4" ht="16.149999999999999" customHeight="1" x14ac:dyDescent="0.2">
      <c r="A25" s="57"/>
      <c r="B25" s="151" t="s">
        <v>225</v>
      </c>
      <c r="C25" s="37" t="s">
        <v>141</v>
      </c>
      <c r="D25" s="57" t="str">
        <f>IF(AND($C$22&lt;&gt;"Investment Tax Credit",OR(C25="Yes",C25="No")),"Check","")</f>
        <v/>
      </c>
    </row>
    <row r="26" spans="1:4" ht="16.149999999999999" customHeight="1" x14ac:dyDescent="0.2">
      <c r="A26" s="57"/>
      <c r="B26" s="50" t="s">
        <v>218</v>
      </c>
      <c r="C26" s="37" t="s">
        <v>141</v>
      </c>
      <c r="D26" s="57" t="str">
        <f>IF(AND($C$22&lt;&gt;"Investment Tax Credit",OR(C26="Yes",C26="No")),"Check","")</f>
        <v/>
      </c>
    </row>
    <row r="27" spans="1:4" ht="16.149999999999999" customHeight="1" x14ac:dyDescent="0.2">
      <c r="A27" s="57"/>
      <c r="B27" s="50" t="s">
        <v>222</v>
      </c>
      <c r="C27" s="37" t="s">
        <v>141</v>
      </c>
      <c r="D27" s="57" t="str">
        <f>IF(AND($C$22&lt;&gt;"Investment Tax Credit",OR(C27="Yes",C27="No")),"Check","")</f>
        <v/>
      </c>
    </row>
    <row r="28" spans="1:4" ht="16.149999999999999" customHeight="1" thickBot="1" x14ac:dyDescent="0.25">
      <c r="A28" s="57"/>
      <c r="B28" s="52" t="s">
        <v>153</v>
      </c>
      <c r="C28" s="43">
        <v>20</v>
      </c>
      <c r="D28" s="57"/>
    </row>
    <row r="29" spans="1:4" ht="16.149999999999999" customHeight="1" x14ac:dyDescent="0.25">
      <c r="A29" s="128" t="s">
        <v>223</v>
      </c>
      <c r="B29" s="57"/>
      <c r="C29" s="57"/>
      <c r="D29" s="57"/>
    </row>
    <row r="30" spans="1:4" ht="16.149999999999999" hidden="1" customHeight="1" thickTop="1" x14ac:dyDescent="0.2"/>
  </sheetData>
  <sheetProtection password="D79C" sheet="1" objects="1" scenarios="1"/>
  <conditionalFormatting sqref="D12:D27">
    <cfRule type="expression" dxfId="10" priority="1">
      <formula>D12="Check"</formula>
    </cfRule>
  </conditionalFormatting>
  <dataValidations count="9">
    <dataValidation type="custom" allowBlank="1" showInputMessage="1" showErrorMessage="1" error="Delivery Year must be in the format of 20YY/(20YY+1)." sqref="C3">
      <formula1>AND(ISNUMBER(LEFT(C3,4)*1),ISNUMBER(RIGHT(C3,4)*1),RIGHT(C3,4)*1-LEFT(C3,4)*1=1,FIND("/",C3)=5)</formula1>
    </dataValidation>
    <dataValidation type="custom" allowBlank="1" showInputMessage="1" showErrorMessage="1" error="ICAP must be a positive number with a maximum of one decimal place." sqref="C13">
      <formula1>AND(C13=INT(C13*10)/10,C13&gt;0,INT(C13)&lt;=9999999999)</formula1>
    </dataValidation>
    <dataValidation type="custom" allowBlank="1" showInputMessage="1" showErrorMessage="1" error="Annual Degradation must be a number &gt;=0 with a maximum of 10 decimal places and can only be specified for solar." sqref="C21">
      <formula1>IF(ISNUMBER(SEARCH("Solar",C12)),AND(C21=INT(C21*1000000000000)/1000000000000,C21&gt;=0),C21="")</formula1>
    </dataValidation>
    <dataValidation type="custom" allowBlank="1" showInputMessage="1" showErrorMessage="1" error="Asset Life must be a whole number &gt;0 and &lt;=35." sqref="C28">
      <formula1>AND(C28=INT(C28),C28&gt;0,C28&lt;=35)</formula1>
    </dataValidation>
    <dataValidation type="custom" allowBlank="1" showInputMessage="1" showErrorMessage="1" error="FPR must be a number &gt;= 0 with a maximum of four decimal places and can only be specified for DR or EE." sqref="C20">
      <formula1>IF(OR(C6="Demand Resource",C6="Energy Efficiency Resource"),AND(C20=INT(C20*10000)/10000,C20&gt;=0),C20="")</formula1>
    </dataValidation>
    <dataValidation type="list" allowBlank="1" showInputMessage="1" showErrorMessage="1" sqref="C12">
      <formula1>INDIRECT(SUBSTITUTE(C6," ",""))</formula1>
    </dataValidation>
    <dataValidation type="list" allowBlank="1" showInputMessage="1" showErrorMessage="1" sqref="C27">
      <formula1>IF($C$22="Investment Tax Credit",TaxCreditEligible2,NotTaxCreditEligible2)</formula1>
    </dataValidation>
    <dataValidation type="list" allowBlank="1" showInputMessage="1" showErrorMessage="1" sqref="C26">
      <formula1>IF($C$22="Investment Tax Credit",TaxCreditEligible2,NotTaxCreditEligible2)</formula1>
    </dataValidation>
    <dataValidation type="list" allowBlank="1" showInputMessage="1" showErrorMessage="1" sqref="C25">
      <formula1>IF($C$22="Investment Tax Credit",TaxCreditEligible2,NotTaxCreditEligible2)</formula1>
    </dataValidation>
  </dataValidations>
  <pageMargins left="0.7" right="0.7" top="0.75" bottom="0.75" header="0.3" footer="0.3"/>
  <pageSetup scale="50" orientation="portrait" r:id="rId1"/>
  <ignoredErrors>
    <ignoredError sqref="C1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DepreciationITCLookUp!$C$3:$Q$3</xm:f>
          </x14:formula1>
          <xm:sqref>C24</xm:sqref>
        </x14:dataValidation>
        <x14:dataValidation type="list" allowBlank="1" showInputMessage="1" showErrorMessage="1">
          <x14:formula1>
            <xm:f>DropDown!$B$62:$B$67</xm:f>
          </x14:formula1>
          <xm:sqref>C4</xm:sqref>
        </x14:dataValidation>
        <x14:dataValidation type="list" allowBlank="1" showInputMessage="1" showErrorMessage="1">
          <x14:formula1>
            <xm:f>DropDown!$B$76:$B$78</xm:f>
          </x14:formula1>
          <xm:sqref>C11</xm:sqref>
        </x14:dataValidation>
        <x14:dataValidation type="list" allowBlank="1" showInputMessage="1" showErrorMessage="1">
          <x14:formula1>
            <xm:f>DropDown!$B$81:$B$102</xm:f>
          </x14:formula1>
          <xm:sqref>C10</xm:sqref>
        </x14:dataValidation>
        <x14:dataValidation type="list" allowBlank="1" showInputMessage="1" showErrorMessage="1">
          <x14:formula1>
            <xm:f>DropDown!$B$70:$B$73</xm:f>
          </x14:formula1>
          <xm:sqref>C6</xm:sqref>
        </x14:dataValidation>
        <x14:dataValidation type="list" allowBlank="1" showInputMessage="1" showErrorMessage="1">
          <x14:formula1>
            <xm:f>IF($C$22="Investment Tax Credit",DropDown!$B$134:$B$149,DropDown!$B$152:$B$153)</xm:f>
          </x14:formula1>
          <xm:sqref>C23</xm:sqref>
        </x14:dataValidation>
        <x14:dataValidation type="custom" allowBlank="1" showInputMessage="1" showErrorMessage="1" error="EFORd must be a number &gt;= 0 and &lt;=1 with a maximum of five decimal places and can only be specified for non ELCC resources.">
          <x14:formula1>
            <xm:f>IF(AND($C$6="Generation",VLOOKUP($C$12,DropDown!$B$9:$C$29,2,FALSE)="Non ELCC"),AND(C14=INT(C14*100000)/100000,C14&gt;=0,C14&lt;=1),"")</xm:f>
          </x14:formula1>
          <xm:sqref>C14</xm:sqref>
        </x14:dataValidation>
        <x14:dataValidation type="custom" allowBlank="1" showInputMessage="1" showErrorMessage="1" error="Effective Nameplate must be a positive number with a maximum of one decimal place and can only be specified for ELCC resources.">
          <x14:formula1>
            <xm:f>AND(VLOOKUP($C$12,DropDown!$B$9:$C$29,2,FALSE)="ELCC",C15=INT(C15*10)/10,C15&gt;0,INT(C15)&lt;=9999999999)</xm:f>
          </x14:formula1>
          <xm:sqref>C15</xm:sqref>
        </x14:dataValidation>
        <x14:dataValidation type="custom" allowBlank="1" showInputMessage="1" showErrorMessage="1" error="Capacity Interconnection Rights must be a positive number with a maximum of one decimal place and can only be specified for ELCC resources.">
          <x14:formula1>
            <xm:f>AND(VLOOKUP($C$12,DropDown!$B$9:$C$29,2,FALSE)="ELCC",C16=INT(C16*10)/10,C16&gt;0,INT(C16)&lt;=9999999999)</xm:f>
          </x14:formula1>
          <xm:sqref>C16</xm:sqref>
        </x14:dataValidation>
        <x14:dataValidation type="custom" allowBlank="1" showInputMessage="1" showErrorMessage="1" error="Value must be a number &gt;=0 with a maximum of 2 decimal places and can only be specified for ELCC Resources.">
          <x14:formula1>
            <xm:f>IF(VLOOKUP($C$12,DropDown!$B$9:$C$29,2,FALSE)="ELCC",AND(C18=INT(C18*100)/100,C18&gt;=0),C18="")</xm:f>
          </x14:formula1>
          <xm:sqref>C18</xm:sqref>
        </x14:dataValidation>
        <x14:dataValidation type="list" allowBlank="1" showInputMessage="1" showErrorMessage="1">
          <x14:formula1>
            <xm:f>INDIRECT(SUBSTITUTE(VLOOKUP($C$12,DropDown!$B$9:$D$29,3,FALSE)," ",""))</xm:f>
          </x14:formula1>
          <xm:sqref>C22</xm:sqref>
        </x14:dataValidation>
        <x14:dataValidation type="custom" allowBlank="1" showInputMessage="1" showErrorMessage="1" error="Value must be a number &gt;=0 with a maximum of 2 decimal places and can only be specified for ELCC Resources.">
          <x14:formula1>
            <xm:f>IF(VLOOKUP($C$12,DropDown!$B$9:$C$29,2,FALSE)="ELCC",AND(C17=INT(C17*100)/100,C17&gt;=0),C17="")</xm:f>
          </x14:formula1>
          <xm:sqref>C17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5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80.7109375" style="47" customWidth="1"/>
    <col min="3" max="3" width="30.7109375" style="47" customWidth="1"/>
    <col min="4" max="4" width="10.7109375" style="47" customWidth="1"/>
    <col min="5" max="16384" width="8.85546875" style="47" hidden="1"/>
  </cols>
  <sheetData>
    <row r="1" spans="1:4" ht="16.149999999999999" customHeight="1" thickBot="1" x14ac:dyDescent="0.25">
      <c r="A1" s="57" t="s">
        <v>226</v>
      </c>
      <c r="B1" s="57" t="str">
        <f>IF(ISERROR(C4),"Model Not Solved",IF(AND(NOT(ISERROR(C4)),ROUND(C4,5)&lt;&gt;0),"Model Not Solved",""))</f>
        <v/>
      </c>
      <c r="C1" s="57"/>
      <c r="D1" s="57"/>
    </row>
    <row r="2" spans="1:4" ht="16.149999999999999" customHeight="1" thickBot="1" x14ac:dyDescent="0.3">
      <c r="A2" s="57"/>
      <c r="B2" s="48" t="s">
        <v>160</v>
      </c>
      <c r="C2" s="49"/>
      <c r="D2" s="57"/>
    </row>
    <row r="3" spans="1:4" ht="16.149999999999999" customHeight="1" x14ac:dyDescent="0.2">
      <c r="A3" s="57"/>
      <c r="B3" s="50" t="s">
        <v>208</v>
      </c>
      <c r="C3" s="119">
        <f>IF(Section5!C16="No",Section5!C15,Section5!C11)</f>
        <v>8.8496752499999998E-2</v>
      </c>
      <c r="D3" s="57"/>
    </row>
    <row r="4" spans="1:4" ht="16.149999999999999" customHeight="1" thickBot="1" x14ac:dyDescent="0.25">
      <c r="A4" s="57"/>
      <c r="B4" s="52" t="s">
        <v>173</v>
      </c>
      <c r="C4" s="120">
        <f>LOOKUP(Section1!C28,ProformaModel!D3:AL3,ProformaModel!D22:AL22)</f>
        <v>-3.907985046680551E-14</v>
      </c>
      <c r="D4" s="57"/>
    </row>
    <row r="5" spans="1:4" ht="16.149999999999999" customHeight="1" thickBot="1" x14ac:dyDescent="0.25">
      <c r="A5" s="57"/>
      <c r="B5" s="57"/>
      <c r="C5" s="84"/>
      <c r="D5" s="57"/>
    </row>
    <row r="6" spans="1:4" ht="16.149999999999999" customHeight="1" thickBot="1" x14ac:dyDescent="0.3">
      <c r="A6" s="57"/>
      <c r="B6" s="48" t="s">
        <v>84</v>
      </c>
      <c r="C6" s="49"/>
      <c r="D6" s="57"/>
    </row>
    <row r="7" spans="1:4" ht="16.149999999999999" customHeight="1" x14ac:dyDescent="0.2">
      <c r="A7" s="57"/>
      <c r="B7" s="51" t="s">
        <v>161</v>
      </c>
      <c r="C7" s="116">
        <v>427.15405812237753</v>
      </c>
      <c r="D7" s="57"/>
    </row>
    <row r="8" spans="1:4" ht="16.149999999999999" customHeight="1" x14ac:dyDescent="0.2">
      <c r="A8" s="57"/>
      <c r="B8" s="51" t="s">
        <v>165</v>
      </c>
      <c r="C8" s="117">
        <f>Section9!C14/(DATE(LEFT(Section1!$C$3,4)*1+1,5,31)-DATE(LEFT(Section1!$C$3,4)*1,6,1)+1)</f>
        <v>0</v>
      </c>
      <c r="D8" s="57"/>
    </row>
    <row r="9" spans="1:4" ht="16.149999999999999" customHeight="1" x14ac:dyDescent="0.2">
      <c r="A9" s="57"/>
      <c r="B9" s="51" t="s">
        <v>30</v>
      </c>
      <c r="C9" s="117">
        <f>MAX(C7-C8,0)</f>
        <v>427.15405812237753</v>
      </c>
      <c r="D9" s="57"/>
    </row>
    <row r="10" spans="1:4" ht="16.149999999999999" customHeight="1" thickBot="1" x14ac:dyDescent="0.25">
      <c r="A10" s="57"/>
      <c r="B10" s="62" t="s">
        <v>31</v>
      </c>
      <c r="C10" s="118">
        <f>IF(OR(Section1!C6="Demand Resource",Section1!C6="Energy Efficiency Resource"),C9/Section1!C20,IF(VLOOKUP(Section1!$C$12,DropDown!$B$9:$C$29,2,FALSE)="ELCC",C9/Section1!C19,C9/(1-Section1!C14)))</f>
        <v>427.15405812237753</v>
      </c>
      <c r="D10" s="57"/>
    </row>
    <row r="11" spans="1:4" ht="16.149999999999999" customHeight="1" x14ac:dyDescent="0.25">
      <c r="A11" s="128" t="s">
        <v>223</v>
      </c>
      <c r="B11" s="57"/>
      <c r="C11" s="57"/>
      <c r="D11" s="57"/>
    </row>
    <row r="12" spans="1:4" ht="16.149999999999999" hidden="1" customHeight="1" x14ac:dyDescent="0.2"/>
    <row r="13" spans="1:4" ht="16.149999999999999" hidden="1" customHeight="1" x14ac:dyDescent="0.2"/>
    <row r="14" spans="1:4" ht="16.149999999999999" hidden="1" customHeight="1" x14ac:dyDescent="0.2">
      <c r="C14" s="85"/>
    </row>
    <row r="15" spans="1:4" ht="16.149999999999999" hidden="1" customHeight="1" x14ac:dyDescent="0.2">
      <c r="C15" s="85"/>
    </row>
  </sheetData>
  <sheetProtection password="D79C" sheet="1" objects="1" scenarios="1"/>
  <conditionalFormatting sqref="B1">
    <cfRule type="expression" dxfId="3" priority="1">
      <formula>$B$1="Model Not Solved"</formula>
    </cfRule>
  </conditionalFormatting>
  <dataValidations count="2">
    <dataValidation type="custom" allowBlank="1" showInputMessage="1" showErrorMessage="1" error="Gross CONE must be a positive number." sqref="C7">
      <formula1>AND(C7&gt;0,INT(C7)&lt;=9999999999999)</formula1>
    </dataValidation>
    <dataValidation allowBlank="1" showInputMessage="1" showErrorMessage="1" error="Gross CONE must be a positive number." sqref="C8"/>
  </dataValidations>
  <pageMargins left="0.7" right="0.7" top="0.75" bottom="0.75" header="0.3" footer="0.3"/>
  <pageSetup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R22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14" customWidth="1"/>
    <col min="2" max="2" width="69.28515625" style="14" customWidth="1"/>
    <col min="3" max="17" width="9.7109375" style="14" customWidth="1"/>
    <col min="18" max="18" width="10.7109375" style="14" customWidth="1"/>
    <col min="19" max="16384" width="8.85546875" style="14" hidden="1"/>
  </cols>
  <sheetData>
    <row r="1" spans="1:18" ht="16.149999999999999" customHeight="1" thickBot="1" x14ac:dyDescent="0.25">
      <c r="A1" s="57" t="s">
        <v>226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6.149999999999999" customHeight="1" thickBot="1" x14ac:dyDescent="0.3">
      <c r="A2" s="11"/>
      <c r="B2" s="3"/>
      <c r="C2" s="166" t="s">
        <v>89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7"/>
      <c r="R2" s="11"/>
    </row>
    <row r="3" spans="1:18" ht="16.149999999999999" customHeight="1" thickBot="1" x14ac:dyDescent="0.3">
      <c r="A3" s="11"/>
      <c r="B3" s="3" t="s">
        <v>137</v>
      </c>
      <c r="C3" s="157">
        <v>2016</v>
      </c>
      <c r="D3" s="157">
        <f t="shared" ref="D3:N3" si="0">C3+1</f>
        <v>2017</v>
      </c>
      <c r="E3" s="157">
        <f t="shared" si="0"/>
        <v>2018</v>
      </c>
      <c r="F3" s="157">
        <f t="shared" si="0"/>
        <v>2019</v>
      </c>
      <c r="G3" s="157">
        <f t="shared" si="0"/>
        <v>2020</v>
      </c>
      <c r="H3" s="157">
        <f t="shared" si="0"/>
        <v>2021</v>
      </c>
      <c r="I3" s="157">
        <f t="shared" si="0"/>
        <v>2022</v>
      </c>
      <c r="J3" s="157">
        <f t="shared" si="0"/>
        <v>2023</v>
      </c>
      <c r="K3" s="157">
        <f t="shared" si="0"/>
        <v>2024</v>
      </c>
      <c r="L3" s="157">
        <f t="shared" si="0"/>
        <v>2025</v>
      </c>
      <c r="M3" s="157">
        <f t="shared" si="0"/>
        <v>2026</v>
      </c>
      <c r="N3" s="157">
        <f t="shared" si="0"/>
        <v>2027</v>
      </c>
      <c r="O3" s="157">
        <v>2028</v>
      </c>
      <c r="P3" s="157">
        <v>2029</v>
      </c>
      <c r="Q3" s="158">
        <v>2030</v>
      </c>
      <c r="R3" s="11"/>
    </row>
    <row r="4" spans="1:18" ht="16.149999999999999" customHeight="1" x14ac:dyDescent="0.2">
      <c r="A4" s="11"/>
      <c r="B4" s="12" t="s">
        <v>210</v>
      </c>
      <c r="C4" s="16">
        <v>0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0.8</v>
      </c>
      <c r="K4" s="16">
        <v>0.6</v>
      </c>
      <c r="L4" s="16">
        <v>0.4</v>
      </c>
      <c r="M4" s="16">
        <v>0.2</v>
      </c>
      <c r="N4" s="16">
        <v>0</v>
      </c>
      <c r="O4" s="19">
        <v>0</v>
      </c>
      <c r="P4" s="19">
        <v>0</v>
      </c>
      <c r="Q4" s="156">
        <v>0</v>
      </c>
      <c r="R4" s="11"/>
    </row>
    <row r="5" spans="1:18" ht="16.149999999999999" customHeight="1" thickBot="1" x14ac:dyDescent="0.25">
      <c r="A5" s="11"/>
      <c r="B5" s="13" t="s">
        <v>129</v>
      </c>
      <c r="C5" s="17">
        <f>1-C4</f>
        <v>1</v>
      </c>
      <c r="D5" s="17">
        <f t="shared" ref="D5:M5" si="1">1-D4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0.19999999999999996</v>
      </c>
      <c r="K5" s="17">
        <f t="shared" si="1"/>
        <v>0.4</v>
      </c>
      <c r="L5" s="17">
        <f t="shared" si="1"/>
        <v>0.6</v>
      </c>
      <c r="M5" s="17">
        <f t="shared" si="1"/>
        <v>0.8</v>
      </c>
      <c r="N5" s="17">
        <f>1-N4</f>
        <v>1</v>
      </c>
      <c r="O5" s="17">
        <v>1</v>
      </c>
      <c r="P5" s="17">
        <v>1</v>
      </c>
      <c r="Q5" s="18">
        <v>1</v>
      </c>
      <c r="R5" s="11"/>
    </row>
    <row r="6" spans="1:18" ht="16.149999999999999" customHeight="1" thickBot="1" x14ac:dyDescent="0.25">
      <c r="A6" s="11"/>
      <c r="B6" s="1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1"/>
    </row>
    <row r="7" spans="1:18" ht="16.149999999999999" customHeight="1" thickBot="1" x14ac:dyDescent="0.3">
      <c r="A7" s="11"/>
      <c r="B7" s="3"/>
      <c r="C7" s="166" t="s">
        <v>244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7"/>
      <c r="R7" s="11"/>
    </row>
    <row r="8" spans="1:18" ht="16.149999999999999" customHeight="1" thickBot="1" x14ac:dyDescent="0.3">
      <c r="A8" s="11"/>
      <c r="B8" s="3" t="s">
        <v>240</v>
      </c>
      <c r="C8" s="157">
        <v>2016</v>
      </c>
      <c r="D8" s="157">
        <f t="shared" ref="D8:N8" si="2">C8+1</f>
        <v>2017</v>
      </c>
      <c r="E8" s="157">
        <f t="shared" si="2"/>
        <v>2018</v>
      </c>
      <c r="F8" s="157">
        <f t="shared" si="2"/>
        <v>2019</v>
      </c>
      <c r="G8" s="157">
        <f t="shared" si="2"/>
        <v>2020</v>
      </c>
      <c r="H8" s="157">
        <f t="shared" si="2"/>
        <v>2021</v>
      </c>
      <c r="I8" s="157">
        <f t="shared" si="2"/>
        <v>2022</v>
      </c>
      <c r="J8" s="157">
        <f t="shared" si="2"/>
        <v>2023</v>
      </c>
      <c r="K8" s="157">
        <f t="shared" si="2"/>
        <v>2024</v>
      </c>
      <c r="L8" s="157">
        <f t="shared" si="2"/>
        <v>2025</v>
      </c>
      <c r="M8" s="157">
        <f t="shared" si="2"/>
        <v>2026</v>
      </c>
      <c r="N8" s="157">
        <f t="shared" si="2"/>
        <v>2027</v>
      </c>
      <c r="O8" s="157">
        <v>2028</v>
      </c>
      <c r="P8" s="157">
        <v>2029</v>
      </c>
      <c r="Q8" s="158">
        <v>2030</v>
      </c>
      <c r="R8" s="11"/>
    </row>
    <row r="9" spans="1:18" ht="16.149999999999999" customHeight="1" x14ac:dyDescent="0.2">
      <c r="A9" s="11"/>
      <c r="B9" s="20" t="s">
        <v>109</v>
      </c>
      <c r="C9" s="90">
        <v>0.3</v>
      </c>
      <c r="D9" s="90">
        <v>0.3</v>
      </c>
      <c r="E9" s="90">
        <v>0.3</v>
      </c>
      <c r="F9" s="90">
        <v>0.3</v>
      </c>
      <c r="G9" s="90">
        <v>0.3</v>
      </c>
      <c r="H9" s="90">
        <v>0</v>
      </c>
      <c r="I9" s="90">
        <v>0</v>
      </c>
      <c r="J9" s="90">
        <f>IF(Section1!$C$25="Yes",0.3,0.06)+IF(Section1!$C$26="Yes",0.333333333*IF(Section1!$C$25="Yes",0.3,0.06),0)+IF(Section1!$C$27="Yes",0.333333333*IF(Section1!$C$25="Yes",0.3,0.06),0)</f>
        <v>0.06</v>
      </c>
      <c r="K9" s="90">
        <f>IF(Section1!$C$25="Yes",0.3,0.06)+IF(Section1!$C$26="Yes",0.333333333*IF(Section1!$C$25="Yes",0.3,0.06),0)+IF(Section1!$C$27="Yes",0.333333333*IF(Section1!$C$25="Yes",0.3,0.06),0)</f>
        <v>0.06</v>
      </c>
      <c r="L9" s="90">
        <f>IF(Section1!$C$25="Yes",0.3,0.06)+IF(Section1!$C$26="Yes",0.333333333*IF(Section1!$C$25="Yes",0.3,0.06),0)+IF(Section1!$C$27="Yes",0.333333333*IF(Section1!$C$25="Yes",0.3,0.06),0)</f>
        <v>0.06</v>
      </c>
      <c r="M9" s="90">
        <f>IF(Section1!$C$25="Yes",0.3,0.06)+IF(Section1!$C$26="Yes",0.333333333*IF(Section1!$C$25="Yes",0.3,0.06),0)+IF(Section1!$C$27="Yes",0.333333333*IF(Section1!$C$25="Yes",0.3,0.06),0)</f>
        <v>0.06</v>
      </c>
      <c r="N9" s="90">
        <f>IF(Section1!$C$25="Yes",0.3,0.06)+IF(Section1!$C$26="Yes",0.333333333*IF(Section1!$C$25="Yes",0.3,0.06),0)+IF(Section1!$C$27="Yes",0.333333333*IF(Section1!$C$25="Yes",0.3,0.06),0)</f>
        <v>0.06</v>
      </c>
      <c r="O9" s="90">
        <f>IF(Section1!$C$25="Yes",0.3,0.06)+IF(Section1!$C$26="Yes",0.333333333*IF(Section1!$C$25="Yes",0.3,0.06),0)+IF(Section1!$C$27="Yes",0.333333333*IF(Section1!$C$25="Yes",0.3,0.06),0)</f>
        <v>0.06</v>
      </c>
      <c r="P9" s="90">
        <f>IF(Section1!$C$25="Yes",0.3,0.06)+IF(Section1!$C$26="Yes",0.333333333*IF(Section1!$C$25="Yes",0.3,0.06),0)+IF(Section1!$C$27="Yes",0.333333333*IF(Section1!$C$25="Yes",0.3,0.06),0)</f>
        <v>0.06</v>
      </c>
      <c r="Q9" s="91">
        <f>IF(Section1!$C$25="Yes",0.3,0.06)+IF(Section1!$C$26="Yes",0.333333333*IF(Section1!$C$25="Yes",0.3,0.06),0)+IF(Section1!$C$27="Yes",0.333333333*IF(Section1!$C$25="Yes",0.3,0.06),0)</f>
        <v>0.06</v>
      </c>
      <c r="R9" s="11"/>
    </row>
    <row r="10" spans="1:18" ht="16.149999999999999" customHeight="1" x14ac:dyDescent="0.2">
      <c r="A10" s="11"/>
      <c r="B10" s="20" t="s">
        <v>131</v>
      </c>
      <c r="C10" s="90">
        <v>0.3</v>
      </c>
      <c r="D10" s="90">
        <v>0.3</v>
      </c>
      <c r="E10" s="90">
        <v>0.3</v>
      </c>
      <c r="F10" s="90">
        <v>0.3</v>
      </c>
      <c r="G10" s="90">
        <v>0.3</v>
      </c>
      <c r="H10" s="90">
        <v>0</v>
      </c>
      <c r="I10" s="90">
        <v>0</v>
      </c>
      <c r="J10" s="90">
        <f>IF(Section1!$C$25="Yes",0.3,0.06)+IF(Section1!$C$26="Yes",0.333333333*IF(Section1!$C$25="Yes",0.3,0.06),0)+IF(Section1!$C$27="Yes",0.333333333*IF(Section1!$C$25="Yes",0.3,0.06),0)</f>
        <v>0.06</v>
      </c>
      <c r="K10" s="90">
        <f>IF(Section1!$C$25="Yes",0.3,0.06)+IF(Section1!$C$26="Yes",0.333333333*IF(Section1!$C$25="Yes",0.3,0.06),0)+IF(Section1!$C$27="Yes",0.333333333*IF(Section1!$C$25="Yes",0.3,0.06),0)</f>
        <v>0.06</v>
      </c>
      <c r="L10" s="90">
        <f>IF(Section1!$C$25="Yes",0.3,0.06)+IF(Section1!$C$26="Yes",0.333333333*IF(Section1!$C$25="Yes",0.3,0.06),0)+IF(Section1!$C$27="Yes",0.333333333*IF(Section1!$C$25="Yes",0.3,0.06),0)</f>
        <v>0.06</v>
      </c>
      <c r="M10" s="90">
        <f>IF(Section1!$C$25="Yes",0.3,0.06)+IF(Section1!$C$26="Yes",0.333333333*IF(Section1!$C$25="Yes",0.3,0.06),0)+IF(Section1!$C$27="Yes",0.333333333*IF(Section1!$C$25="Yes",0.3,0.06),0)</f>
        <v>0.06</v>
      </c>
      <c r="N10" s="90">
        <f>IF(Section1!$C$25="Yes",0.3,0.06)+IF(Section1!$C$26="Yes",0.333333333*IF(Section1!$C$25="Yes",0.3,0.06),0)+IF(Section1!$C$27="Yes",0.333333333*IF(Section1!$C$25="Yes",0.3,0.06),0)</f>
        <v>0.06</v>
      </c>
      <c r="O10" s="90">
        <f>IF(Section1!$C$25="Yes",0.3,0.06)+IF(Section1!$C$26="Yes",0.333333333*IF(Section1!$C$25="Yes",0.3,0.06),0)+IF(Section1!$C$27="Yes",0.333333333*IF(Section1!$C$25="Yes",0.3,0.06),0)</f>
        <v>0.06</v>
      </c>
      <c r="P10" s="90">
        <f>IF(Section1!$C$25="Yes",0.3,0.06)+IF(Section1!$C$26="Yes",0.333333333*IF(Section1!$C$25="Yes",0.3,0.06),0)+IF(Section1!$C$27="Yes",0.333333333*IF(Section1!$C$25="Yes",0.3,0.06),0)</f>
        <v>0.06</v>
      </c>
      <c r="Q10" s="91">
        <f>IF(Section1!$C$25="Yes",0.3,0.06)+IF(Section1!$C$26="Yes",0.333333333*IF(Section1!$C$25="Yes",0.3,0.06),0)+IF(Section1!$C$27="Yes",0.333333333*IF(Section1!$C$25="Yes",0.3,0.06),0)</f>
        <v>0.06</v>
      </c>
      <c r="R10" s="11"/>
    </row>
    <row r="11" spans="1:18" ht="16.149999999999999" customHeight="1" x14ac:dyDescent="0.2">
      <c r="A11" s="11"/>
      <c r="B11" s="20" t="s">
        <v>219</v>
      </c>
      <c r="C11" s="90">
        <v>0.1</v>
      </c>
      <c r="D11" s="90">
        <v>0.1</v>
      </c>
      <c r="E11" s="90">
        <v>0.1</v>
      </c>
      <c r="F11" s="90">
        <v>0.1</v>
      </c>
      <c r="G11" s="90">
        <v>0.1</v>
      </c>
      <c r="H11" s="90">
        <v>0</v>
      </c>
      <c r="I11" s="90">
        <v>0</v>
      </c>
      <c r="J11" s="90">
        <f>IF(Section1!$C$25="Yes",0.3,0.06)+IF(Section1!$C$26="Yes",0.333333333*IF(Section1!$C$25="Yes",0.3,0.06),0)+IF(Section1!$C$27="Yes",0.333333333*IF(Section1!$C$25="Yes",0.3,0.06),0)</f>
        <v>0.06</v>
      </c>
      <c r="K11" s="90">
        <f>IF(Section1!$C$25="Yes",0.3,0.06)+IF(Section1!$C$26="Yes",0.333333333*IF(Section1!$C$25="Yes",0.3,0.06),0)+IF(Section1!$C$27="Yes",0.333333333*IF(Section1!$C$25="Yes",0.3,0.06),0)</f>
        <v>0.06</v>
      </c>
      <c r="L11" s="90">
        <f>IF(Section1!$C$25="Yes",0.3,0.06)+IF(Section1!$C$26="Yes",0.333333333*IF(Section1!$C$25="Yes",0.3,0.06),0)+IF(Section1!$C$27="Yes",0.333333333*IF(Section1!$C$25="Yes",0.3,0.06),0)</f>
        <v>0.06</v>
      </c>
      <c r="M11" s="90">
        <f>IF(Section1!$C$25="Yes",0.3,0.06)+IF(Section1!$C$26="Yes",0.333333333*IF(Section1!$C$25="Yes",0.3,0.06),0)+IF(Section1!$C$27="Yes",0.333333333*IF(Section1!$C$25="Yes",0.3,0.06),0)</f>
        <v>0.06</v>
      </c>
      <c r="N11" s="90">
        <f>IF(Section1!$C$25="Yes",0.3,0.06)+IF(Section1!$C$26="Yes",0.333333333*IF(Section1!$C$25="Yes",0.3,0.06),0)+IF(Section1!$C$27="Yes",0.333333333*IF(Section1!$C$25="Yes",0.3,0.06),0)</f>
        <v>0.06</v>
      </c>
      <c r="O11" s="90">
        <f>IF(Section1!$C$25="Yes",0.3,0.06)+IF(Section1!$C$26="Yes",0.333333333*IF(Section1!$C$25="Yes",0.3,0.06),0)+IF(Section1!$C$27="Yes",0.333333333*IF(Section1!$C$25="Yes",0.3,0.06),0)</f>
        <v>0.06</v>
      </c>
      <c r="P11" s="90">
        <f>IF(Section1!$C$25="Yes",0.3,0.06)+IF(Section1!$C$26="Yes",0.333333333*IF(Section1!$C$25="Yes",0.3,0.06),0)+IF(Section1!$C$27="Yes",0.333333333*IF(Section1!$C$25="Yes",0.3,0.06),0)</f>
        <v>0.06</v>
      </c>
      <c r="Q11" s="91">
        <f>IF(Section1!$C$25="Yes",0.3,0.06)+IF(Section1!$C$26="Yes",0.333333333*IF(Section1!$C$25="Yes",0.3,0.06),0)+IF(Section1!$C$27="Yes",0.333333333*IF(Section1!$C$25="Yes",0.3,0.06),0)</f>
        <v>0.06</v>
      </c>
      <c r="R11" s="11"/>
    </row>
    <row r="12" spans="1:18" ht="16.149999999999999" customHeight="1" x14ac:dyDescent="0.2">
      <c r="A12" s="11"/>
      <c r="B12" s="20" t="s">
        <v>133</v>
      </c>
      <c r="C12" s="90">
        <v>0.1</v>
      </c>
      <c r="D12" s="90">
        <v>0.1</v>
      </c>
      <c r="E12" s="90">
        <v>0.1</v>
      </c>
      <c r="F12" s="90">
        <v>0.1</v>
      </c>
      <c r="G12" s="90">
        <v>0.1</v>
      </c>
      <c r="H12" s="90">
        <v>0</v>
      </c>
      <c r="I12" s="90">
        <v>0</v>
      </c>
      <c r="J12" s="90">
        <f>IF(Section1!$C$25="Yes",0.3,0.06)+IF(Section1!$C$26="Yes",0.333333333*IF(Section1!$C$25="Yes",0.3,0.06),0)+IF(Section1!$C$27="Yes",0.333333333*IF(Section1!$C$25="Yes",0.3,0.06),0)</f>
        <v>0.06</v>
      </c>
      <c r="K12" s="90">
        <f>IF(Section1!$C$25="Yes",0.3,0.06)+IF(Section1!$C$26="Yes",0.333333333*IF(Section1!$C$25="Yes",0.3,0.06),0)+IF(Section1!$C$27="Yes",0.333333333*IF(Section1!$C$25="Yes",0.3,0.06),0)</f>
        <v>0.06</v>
      </c>
      <c r="L12" s="90">
        <f>IF(Section1!$C$25="Yes",0.3,0.06)+IF(Section1!$C$26="Yes",0.333333333*IF(Section1!$C$25="Yes",0.3,0.06),0)+IF(Section1!$C$27="Yes",0.333333333*IF(Section1!$C$25="Yes",0.3,0.06),0)</f>
        <v>0.06</v>
      </c>
      <c r="M12" s="90">
        <f>IF(Section1!$C$25="Yes",0.3,0.06)+IF(Section1!$C$26="Yes",0.333333333*IF(Section1!$C$25="Yes",0.3,0.06),0)+IF(Section1!$C$27="Yes",0.333333333*IF(Section1!$C$25="Yes",0.3,0.06),0)</f>
        <v>0.06</v>
      </c>
      <c r="N12" s="90">
        <f>IF(Section1!$C$25="Yes",0.3,0.06)+IF(Section1!$C$26="Yes",0.333333333*IF(Section1!$C$25="Yes",0.3,0.06),0)+IF(Section1!$C$27="Yes",0.333333333*IF(Section1!$C$25="Yes",0.3,0.06),0)</f>
        <v>0.06</v>
      </c>
      <c r="O12" s="90">
        <f>IF(Section1!$C$25="Yes",0.3,0.06)+IF(Section1!$C$26="Yes",0.333333333*IF(Section1!$C$25="Yes",0.3,0.06),0)+IF(Section1!$C$27="Yes",0.333333333*IF(Section1!$C$25="Yes",0.3,0.06),0)</f>
        <v>0.06</v>
      </c>
      <c r="P12" s="90">
        <f>IF(Section1!$C$25="Yes",0.3,0.06)+IF(Section1!$C$26="Yes",0.333333333*IF(Section1!$C$25="Yes",0.3,0.06),0)+IF(Section1!$C$27="Yes",0.333333333*IF(Section1!$C$25="Yes",0.3,0.06),0)</f>
        <v>0.06</v>
      </c>
      <c r="Q12" s="91">
        <f>IF(Section1!$C$25="Yes",0.3,0.06)+IF(Section1!$C$26="Yes",0.333333333*IF(Section1!$C$25="Yes",0.3,0.06),0)+IF(Section1!$C$27="Yes",0.333333333*IF(Section1!$C$25="Yes",0.3,0.06),0)</f>
        <v>0.06</v>
      </c>
      <c r="R12" s="11"/>
    </row>
    <row r="13" spans="1:18" ht="16.149999999999999" customHeight="1" x14ac:dyDescent="0.2">
      <c r="A13" s="11"/>
      <c r="B13" s="20" t="s">
        <v>56</v>
      </c>
      <c r="C13" s="90">
        <v>0.3</v>
      </c>
      <c r="D13" s="90">
        <v>0.3</v>
      </c>
      <c r="E13" s="90">
        <v>0.3</v>
      </c>
      <c r="F13" s="90">
        <v>0.3</v>
      </c>
      <c r="G13" s="90">
        <v>0.3</v>
      </c>
      <c r="H13" s="90">
        <v>0</v>
      </c>
      <c r="I13" s="90">
        <v>0</v>
      </c>
      <c r="J13" s="90">
        <f>IF(Section1!$C$25="Yes",0.3,0.06)+IF(Section1!$C$26="Yes",0.333333333*IF(Section1!$C$25="Yes",0.3,0.06),0)+IF(Section1!$C$27="Yes",0.333333333*IF(Section1!$C$25="Yes",0.3,0.06),0)</f>
        <v>0.06</v>
      </c>
      <c r="K13" s="90">
        <f>IF(Section1!$C$25="Yes",0.3,0.06)+IF(Section1!$C$26="Yes",0.333333333*IF(Section1!$C$25="Yes",0.3,0.06),0)+IF(Section1!$C$27="Yes",0.333333333*IF(Section1!$C$25="Yes",0.3,0.06),0)</f>
        <v>0.06</v>
      </c>
      <c r="L13" s="90">
        <f>IF(Section1!$C$25="Yes",0.3,0.06)+IF(Section1!$C$26="Yes",0.333333333*IF(Section1!$C$25="Yes",0.3,0.06),0)+IF(Section1!$C$27="Yes",0.333333333*IF(Section1!$C$25="Yes",0.3,0.06),0)</f>
        <v>0.06</v>
      </c>
      <c r="M13" s="90">
        <f>IF(Section1!$C$25="Yes",0.3,0.06)+IF(Section1!$C$26="Yes",0.333333333*IF(Section1!$C$25="Yes",0.3,0.06),0)+IF(Section1!$C$27="Yes",0.333333333*IF(Section1!$C$25="Yes",0.3,0.06),0)</f>
        <v>0.06</v>
      </c>
      <c r="N13" s="90">
        <f>IF(Section1!$C$25="Yes",0.3,0.06)+IF(Section1!$C$26="Yes",0.333333333*IF(Section1!$C$25="Yes",0.3,0.06),0)+IF(Section1!$C$27="Yes",0.333333333*IF(Section1!$C$25="Yes",0.3,0.06),0)</f>
        <v>0.06</v>
      </c>
      <c r="O13" s="90">
        <f>IF(Section1!$C$25="Yes",0.3,0.06)+IF(Section1!$C$26="Yes",0.333333333*IF(Section1!$C$25="Yes",0.3,0.06),0)+IF(Section1!$C$27="Yes",0.333333333*IF(Section1!$C$25="Yes",0.3,0.06),0)</f>
        <v>0.06</v>
      </c>
      <c r="P13" s="90">
        <f>IF(Section1!$C$25="Yes",0.3,0.06)+IF(Section1!$C$26="Yes",0.333333333*IF(Section1!$C$25="Yes",0.3,0.06),0)+IF(Section1!$C$27="Yes",0.333333333*IF(Section1!$C$25="Yes",0.3,0.06),0)</f>
        <v>0.06</v>
      </c>
      <c r="Q13" s="91">
        <f>IF(Section1!$C$25="Yes",0.3,0.06)+IF(Section1!$C$26="Yes",0.333333333*IF(Section1!$C$25="Yes",0.3,0.06),0)+IF(Section1!$C$27="Yes",0.333333333*IF(Section1!$C$25="Yes",0.3,0.06),0)</f>
        <v>0.06</v>
      </c>
      <c r="R13" s="11"/>
    </row>
    <row r="14" spans="1:18" ht="16.149999999999999" customHeight="1" x14ac:dyDescent="0.2">
      <c r="A14" s="11"/>
      <c r="B14" s="20" t="s">
        <v>132</v>
      </c>
      <c r="C14" s="90">
        <v>0.3</v>
      </c>
      <c r="D14" s="90">
        <v>0.3</v>
      </c>
      <c r="E14" s="90">
        <v>0.3</v>
      </c>
      <c r="F14" s="90">
        <v>0.3</v>
      </c>
      <c r="G14" s="90">
        <v>0.3</v>
      </c>
      <c r="H14" s="90">
        <v>0</v>
      </c>
      <c r="I14" s="90">
        <v>0</v>
      </c>
      <c r="J14" s="90">
        <f>IF(Section1!$C$25="Yes",0.3,0.06)+IF(Section1!$C$26="Yes",0.333333333*IF(Section1!$C$25="Yes",0.3,0.06),0)+IF(Section1!$C$27="Yes",0.333333333*IF(Section1!$C$25="Yes",0.3,0.06),0)</f>
        <v>0.06</v>
      </c>
      <c r="K14" s="90">
        <f>IF(Section1!$C$25="Yes",0.3,0.06)+IF(Section1!$C$26="Yes",0.333333333*IF(Section1!$C$25="Yes",0.3,0.06),0)+IF(Section1!$C$27="Yes",0.333333333*IF(Section1!$C$25="Yes",0.3,0.06),0)</f>
        <v>0.06</v>
      </c>
      <c r="L14" s="90">
        <f>IF(Section1!$C$25="Yes",0.3,0.06)+IF(Section1!$C$26="Yes",0.333333333*IF(Section1!$C$25="Yes",0.3,0.06),0)+IF(Section1!$C$27="Yes",0.333333333*IF(Section1!$C$25="Yes",0.3,0.06),0)</f>
        <v>0.06</v>
      </c>
      <c r="M14" s="90">
        <f>IF(Section1!$C$25="Yes",0.3,0.06)+IF(Section1!$C$26="Yes",0.333333333*IF(Section1!$C$25="Yes",0.3,0.06),0)+IF(Section1!$C$27="Yes",0.333333333*IF(Section1!$C$25="Yes",0.3,0.06),0)</f>
        <v>0.06</v>
      </c>
      <c r="N14" s="90">
        <f>IF(Section1!$C$25="Yes",0.3,0.06)+IF(Section1!$C$26="Yes",0.333333333*IF(Section1!$C$25="Yes",0.3,0.06),0)+IF(Section1!$C$27="Yes",0.333333333*IF(Section1!$C$25="Yes",0.3,0.06),0)</f>
        <v>0.06</v>
      </c>
      <c r="O14" s="90">
        <f>IF(Section1!$C$25="Yes",0.3,0.06)+IF(Section1!$C$26="Yes",0.333333333*IF(Section1!$C$25="Yes",0.3,0.06),0)+IF(Section1!$C$27="Yes",0.333333333*IF(Section1!$C$25="Yes",0.3,0.06),0)</f>
        <v>0.06</v>
      </c>
      <c r="P14" s="90">
        <f>IF(Section1!$C$25="Yes",0.3,0.06)+IF(Section1!$C$26="Yes",0.333333333*IF(Section1!$C$25="Yes",0.3,0.06),0)+IF(Section1!$C$27="Yes",0.333333333*IF(Section1!$C$25="Yes",0.3,0.06),0)</f>
        <v>0.06</v>
      </c>
      <c r="Q14" s="91">
        <f>IF(Section1!$C$25="Yes",0.3,0.06)+IF(Section1!$C$26="Yes",0.333333333*IF(Section1!$C$25="Yes",0.3,0.06),0)+IF(Section1!$C$27="Yes",0.333333333*IF(Section1!$C$25="Yes",0.3,0.06),0)</f>
        <v>0.06</v>
      </c>
      <c r="R14" s="11"/>
    </row>
    <row r="15" spans="1:18" ht="16.149999999999999" customHeight="1" x14ac:dyDescent="0.2">
      <c r="A15" s="11"/>
      <c r="B15" s="20" t="s">
        <v>135</v>
      </c>
      <c r="C15" s="90">
        <v>0.3</v>
      </c>
      <c r="D15" s="90">
        <v>0.3</v>
      </c>
      <c r="E15" s="90">
        <v>0.3</v>
      </c>
      <c r="F15" s="90">
        <v>0.3</v>
      </c>
      <c r="G15" s="90">
        <v>0.3</v>
      </c>
      <c r="H15" s="90">
        <v>0</v>
      </c>
      <c r="I15" s="90">
        <v>0</v>
      </c>
      <c r="J15" s="90">
        <f>IF(Section1!$C$25="Yes",0.3,0.06)+IF(Section1!$C$26="Yes",0.333333333*IF(Section1!$C$25="Yes",0.3,0.06),0)+IF(Section1!$C$27="Yes",0.333333333*IF(Section1!$C$25="Yes",0.3,0.06),0)</f>
        <v>0.06</v>
      </c>
      <c r="K15" s="90">
        <f>IF(Section1!$C$25="Yes",0.3,0.06)+IF(Section1!$C$26="Yes",0.333333333*IF(Section1!$C$25="Yes",0.3,0.06),0)+IF(Section1!$C$27="Yes",0.333333333*IF(Section1!$C$25="Yes",0.3,0.06),0)</f>
        <v>0.06</v>
      </c>
      <c r="L15" s="90">
        <f>IF(Section1!$C$25="Yes",0.3,0.06)+IF(Section1!$C$26="Yes",0.333333333*IF(Section1!$C$25="Yes",0.3,0.06),0)+IF(Section1!$C$27="Yes",0.333333333*IF(Section1!$C$25="Yes",0.3,0.06),0)</f>
        <v>0.06</v>
      </c>
      <c r="M15" s="90">
        <f>IF(Section1!$C$25="Yes",0.3,0.06)+IF(Section1!$C$26="Yes",0.333333333*IF(Section1!$C$25="Yes",0.3,0.06),0)+IF(Section1!$C$27="Yes",0.333333333*IF(Section1!$C$25="Yes",0.3,0.06),0)</f>
        <v>0.06</v>
      </c>
      <c r="N15" s="90">
        <f>IF(Section1!$C$25="Yes",0.3,0.06)+IF(Section1!$C$26="Yes",0.333333333*IF(Section1!$C$25="Yes",0.3,0.06),0)+IF(Section1!$C$27="Yes",0.333333333*IF(Section1!$C$25="Yes",0.3,0.06),0)</f>
        <v>0.06</v>
      </c>
      <c r="O15" s="90">
        <f>IF(Section1!$C$25="Yes",0.3,0.06)+IF(Section1!$C$26="Yes",0.333333333*IF(Section1!$C$25="Yes",0.3,0.06),0)+IF(Section1!$C$27="Yes",0.333333333*IF(Section1!$C$25="Yes",0.3,0.06),0)</f>
        <v>0.06</v>
      </c>
      <c r="P15" s="90">
        <f>IF(Section1!$C$25="Yes",0.3,0.06)+IF(Section1!$C$26="Yes",0.333333333*IF(Section1!$C$25="Yes",0.3,0.06),0)+IF(Section1!$C$27="Yes",0.333333333*IF(Section1!$C$25="Yes",0.3,0.06),0)</f>
        <v>0.06</v>
      </c>
      <c r="Q15" s="91">
        <f>IF(Section1!$C$25="Yes",0.3,0.06)+IF(Section1!$C$26="Yes",0.333333333*IF(Section1!$C$25="Yes",0.3,0.06),0)+IF(Section1!$C$27="Yes",0.333333333*IF(Section1!$C$25="Yes",0.3,0.06),0)</f>
        <v>0.06</v>
      </c>
      <c r="R15" s="11"/>
    </row>
    <row r="16" spans="1:18" ht="16.149999999999999" customHeight="1" x14ac:dyDescent="0.2">
      <c r="A16" s="11"/>
      <c r="B16" s="20" t="s">
        <v>189</v>
      </c>
      <c r="C16" s="89">
        <v>0.3</v>
      </c>
      <c r="D16" s="90">
        <v>0.3</v>
      </c>
      <c r="E16" s="90">
        <v>0.3</v>
      </c>
      <c r="F16" s="90">
        <v>0.3</v>
      </c>
      <c r="G16" s="90">
        <v>0.26</v>
      </c>
      <c r="H16" s="90">
        <v>0.22</v>
      </c>
      <c r="I16" s="90">
        <v>0.3</v>
      </c>
      <c r="J16" s="90">
        <f>IF(Section1!$C$25="Yes",0.3,0.06)+IF(Section1!$C$26="Yes",0.333333333*IF(Section1!$C$25="Yes",0.3,0.06),0)+IF(Section1!$C$27="Yes",0.333333333*IF(Section1!$C$25="Yes",0.3,0.06),0)</f>
        <v>0.06</v>
      </c>
      <c r="K16" s="90">
        <f>IF(Section1!$C$25="Yes",0.3,0.06)+IF(Section1!$C$26="Yes",0.333333333*IF(Section1!$C$25="Yes",0.3,0.06),0)+IF(Section1!$C$27="Yes",0.333333333*IF(Section1!$C$25="Yes",0.3,0.06),0)</f>
        <v>0.06</v>
      </c>
      <c r="L16" s="90">
        <f>IF(Section1!$C$25="Yes",0.3,0.06)+IF(Section1!$C$26="Yes",0.333333333*IF(Section1!$C$25="Yes",0.3,0.06),0)+IF(Section1!$C$27="Yes",0.333333333*IF(Section1!$C$25="Yes",0.3,0.06),0)</f>
        <v>0.06</v>
      </c>
      <c r="M16" s="90">
        <f>IF(Section1!$C$25="Yes",0.3,0.06)+IF(Section1!$C$26="Yes",0.333333333*IF(Section1!$C$25="Yes",0.3,0.06),0)+IF(Section1!$C$27="Yes",0.333333333*IF(Section1!$C$25="Yes",0.3,0.06),0)</f>
        <v>0.06</v>
      </c>
      <c r="N16" s="90">
        <f>IF(Section1!$C$25="Yes",0.3,0.06)+IF(Section1!$C$26="Yes",0.333333333*IF(Section1!$C$25="Yes",0.3,0.06),0)+IF(Section1!$C$27="Yes",0.333333333*IF(Section1!$C$25="Yes",0.3,0.06),0)</f>
        <v>0.06</v>
      </c>
      <c r="O16" s="90">
        <f>IF(Section1!$C$25="Yes",0.3,0.06)+IF(Section1!$C$26="Yes",0.333333333*IF(Section1!$C$25="Yes",0.3,0.06),0)+IF(Section1!$C$27="Yes",0.333333333*IF(Section1!$C$25="Yes",0.3,0.06),0)</f>
        <v>0.06</v>
      </c>
      <c r="P16" s="90">
        <f>IF(Section1!$C$25="Yes",0.3,0.06)+IF(Section1!$C$26="Yes",0.333333333*IF(Section1!$C$25="Yes",0.3,0.06),0)+IF(Section1!$C$27="Yes",0.333333333*IF(Section1!$C$25="Yes",0.3,0.06),0)</f>
        <v>0.06</v>
      </c>
      <c r="Q16" s="91">
        <f>IF(Section1!$C$25="Yes",0.3,0.06)+IF(Section1!$C$26="Yes",0.333333333*IF(Section1!$C$25="Yes",0.3,0.06),0)+IF(Section1!$C$27="Yes",0.333333333*IF(Section1!$C$25="Yes",0.3,0.06),0)</f>
        <v>0.06</v>
      </c>
      <c r="R16" s="11"/>
    </row>
    <row r="17" spans="1:18" ht="16.149999999999999" customHeight="1" x14ac:dyDescent="0.2">
      <c r="A17" s="11"/>
      <c r="B17" s="20" t="s">
        <v>190</v>
      </c>
      <c r="C17" s="90">
        <v>0.3</v>
      </c>
      <c r="D17" s="90">
        <v>0.3</v>
      </c>
      <c r="E17" s="90">
        <v>0.3</v>
      </c>
      <c r="F17" s="90">
        <v>0.3</v>
      </c>
      <c r="G17" s="90">
        <v>0.26</v>
      </c>
      <c r="H17" s="90">
        <v>0.22</v>
      </c>
      <c r="I17" s="90">
        <v>0.3</v>
      </c>
      <c r="J17" s="90">
        <f>IF(Section1!$C$25="Yes",0.3,0.06)+IF(Section1!$C$26="Yes",0.333333333*IF(Section1!$C$25="Yes",0.3,0.06),0)+IF(Section1!$C$27="Yes",0.333333333*IF(Section1!$C$25="Yes",0.3,0.06),0)</f>
        <v>0.06</v>
      </c>
      <c r="K17" s="90">
        <f>IF(Section1!$C$25="Yes",0.3,0.06)+IF(Section1!$C$26="Yes",0.333333333*IF(Section1!$C$25="Yes",0.3,0.06),0)+IF(Section1!$C$27="Yes",0.333333333*IF(Section1!$C$25="Yes",0.3,0.06),0)</f>
        <v>0.06</v>
      </c>
      <c r="L17" s="90">
        <f>IF(Section1!$C$25="Yes",0.3,0.06)+IF(Section1!$C$26="Yes",0.333333333*IF(Section1!$C$25="Yes",0.3,0.06),0)+IF(Section1!$C$27="Yes",0.333333333*IF(Section1!$C$25="Yes",0.3,0.06),0)</f>
        <v>0.06</v>
      </c>
      <c r="M17" s="90">
        <f>IF(Section1!$C$25="Yes",0.3,0.06)+IF(Section1!$C$26="Yes",0.333333333*IF(Section1!$C$25="Yes",0.3,0.06),0)+IF(Section1!$C$27="Yes",0.333333333*IF(Section1!$C$25="Yes",0.3,0.06),0)</f>
        <v>0.06</v>
      </c>
      <c r="N17" s="90">
        <f>IF(Section1!$C$25="Yes",0.3,0.06)+IF(Section1!$C$26="Yes",0.333333333*IF(Section1!$C$25="Yes",0.3,0.06),0)+IF(Section1!$C$27="Yes",0.333333333*IF(Section1!$C$25="Yes",0.3,0.06),0)</f>
        <v>0.06</v>
      </c>
      <c r="O17" s="90">
        <f>IF(Section1!$C$25="Yes",0.3,0.06)+IF(Section1!$C$26="Yes",0.333333333*IF(Section1!$C$25="Yes",0.3,0.06),0)+IF(Section1!$C$27="Yes",0.333333333*IF(Section1!$C$25="Yes",0.3,0.06),0)</f>
        <v>0.06</v>
      </c>
      <c r="P17" s="90">
        <f>IF(Section1!$C$25="Yes",0.3,0.06)+IF(Section1!$C$26="Yes",0.333333333*IF(Section1!$C$25="Yes",0.3,0.06),0)+IF(Section1!$C$27="Yes",0.333333333*IF(Section1!$C$25="Yes",0.3,0.06),0)</f>
        <v>0.06</v>
      </c>
      <c r="Q17" s="91">
        <f>IF(Section1!$C$25="Yes",0.3,0.06)+IF(Section1!$C$26="Yes",0.333333333*IF(Section1!$C$25="Yes",0.3,0.06),0)+IF(Section1!$C$27="Yes",0.333333333*IF(Section1!$C$25="Yes",0.3,0.06),0)</f>
        <v>0.06</v>
      </c>
      <c r="R17" s="11"/>
    </row>
    <row r="18" spans="1:18" ht="16.149999999999999" customHeight="1" x14ac:dyDescent="0.2">
      <c r="A18" s="11"/>
      <c r="B18" s="20" t="s">
        <v>188</v>
      </c>
      <c r="C18" s="90">
        <v>0.3</v>
      </c>
      <c r="D18" s="90">
        <v>0.24</v>
      </c>
      <c r="E18" s="90">
        <v>0.18</v>
      </c>
      <c r="F18" s="90">
        <v>0.12</v>
      </c>
      <c r="G18" s="90">
        <v>0.18</v>
      </c>
      <c r="H18" s="90">
        <v>0</v>
      </c>
      <c r="I18" s="90">
        <v>0.3</v>
      </c>
      <c r="J18" s="90">
        <f>IF(Section1!$C$25="Yes",0.3,0.06)+IF(Section1!$C$26="Yes",0.333333333*IF(Section1!$C$25="Yes",0.3,0.06),0)+IF(Section1!$C$27="Yes",0.333333333*IF(Section1!$C$25="Yes",0.3,0.06),0)</f>
        <v>0.06</v>
      </c>
      <c r="K18" s="90">
        <f>IF(Section1!$C$25="Yes",0.3,0.06)+IF(Section1!$C$26="Yes",0.333333333*IF(Section1!$C$25="Yes",0.3,0.06),0)+IF(Section1!$C$27="Yes",0.333333333*IF(Section1!$C$25="Yes",0.3,0.06),0)</f>
        <v>0.06</v>
      </c>
      <c r="L18" s="90">
        <f>IF(Section1!$C$25="Yes",0.3,0.06)+IF(Section1!$C$26="Yes",0.333333333*IF(Section1!$C$25="Yes",0.3,0.06),0)+IF(Section1!$C$27="Yes",0.333333333*IF(Section1!$C$25="Yes",0.3,0.06),0)</f>
        <v>0.06</v>
      </c>
      <c r="M18" s="90">
        <f>IF(Section1!$C$25="Yes",0.3,0.06)+IF(Section1!$C$26="Yes",0.333333333*IF(Section1!$C$25="Yes",0.3,0.06),0)+IF(Section1!$C$27="Yes",0.333333333*IF(Section1!$C$25="Yes",0.3,0.06),0)</f>
        <v>0.06</v>
      </c>
      <c r="N18" s="90">
        <f>IF(Section1!$C$25="Yes",0.3,0.06)+IF(Section1!$C$26="Yes",0.333333333*IF(Section1!$C$25="Yes",0.3,0.06),0)+IF(Section1!$C$27="Yes",0.333333333*IF(Section1!$C$25="Yes",0.3,0.06),0)</f>
        <v>0.06</v>
      </c>
      <c r="O18" s="90">
        <f>IF(Section1!$C$25="Yes",0.3,0.06)+IF(Section1!$C$26="Yes",0.333333333*IF(Section1!$C$25="Yes",0.3,0.06),0)+IF(Section1!$C$27="Yes",0.333333333*IF(Section1!$C$25="Yes",0.3,0.06),0)</f>
        <v>0.06</v>
      </c>
      <c r="P18" s="90">
        <f>IF(Section1!$C$25="Yes",0.3,0.06)+IF(Section1!$C$26="Yes",0.333333333*IF(Section1!$C$25="Yes",0.3,0.06),0)+IF(Section1!$C$27="Yes",0.333333333*IF(Section1!$C$25="Yes",0.3,0.06),0)</f>
        <v>0.06</v>
      </c>
      <c r="Q18" s="91">
        <f>IF(Section1!$C$25="Yes",0.3,0.06)+IF(Section1!$C$26="Yes",0.333333333*IF(Section1!$C$25="Yes",0.3,0.06),0)+IF(Section1!$C$27="Yes",0.333333333*IF(Section1!$C$25="Yes",0.3,0.06),0)</f>
        <v>0.06</v>
      </c>
      <c r="R18" s="11"/>
    </row>
    <row r="19" spans="1:18" ht="16.149999999999999" customHeight="1" x14ac:dyDescent="0.2">
      <c r="A19" s="11"/>
      <c r="B19" s="20" t="s">
        <v>187</v>
      </c>
      <c r="C19" s="89">
        <v>0.3</v>
      </c>
      <c r="D19" s="90">
        <v>0.24</v>
      </c>
      <c r="E19" s="90">
        <v>0.18</v>
      </c>
      <c r="F19" s="90">
        <v>0.12</v>
      </c>
      <c r="G19" s="90">
        <v>0.18</v>
      </c>
      <c r="H19" s="90">
        <v>0</v>
      </c>
      <c r="I19" s="90">
        <v>0.3</v>
      </c>
      <c r="J19" s="90">
        <f>IF(Section1!$C$25="Yes",0.3,0.06)+IF(Section1!$C$26="Yes",0.333333333*IF(Section1!$C$25="Yes",0.3,0.06),0)+IF(Section1!$C$27="Yes",0.333333333*IF(Section1!$C$25="Yes",0.3,0.06),0)</f>
        <v>0.06</v>
      </c>
      <c r="K19" s="90">
        <f>IF(Section1!$C$25="Yes",0.3,0.06)+IF(Section1!$C$26="Yes",0.333333333*IF(Section1!$C$25="Yes",0.3,0.06),0)+IF(Section1!$C$27="Yes",0.333333333*IF(Section1!$C$25="Yes",0.3,0.06),0)</f>
        <v>0.06</v>
      </c>
      <c r="L19" s="90">
        <f>IF(Section1!$C$25="Yes",0.3,0.06)+IF(Section1!$C$26="Yes",0.333333333*IF(Section1!$C$25="Yes",0.3,0.06),0)+IF(Section1!$C$27="Yes",0.333333333*IF(Section1!$C$25="Yes",0.3,0.06),0)</f>
        <v>0.06</v>
      </c>
      <c r="M19" s="90">
        <f>IF(Section1!$C$25="Yes",0.3,0.06)+IF(Section1!$C$26="Yes",0.333333333*IF(Section1!$C$25="Yes",0.3,0.06),0)+IF(Section1!$C$27="Yes",0.333333333*IF(Section1!$C$25="Yes",0.3,0.06),0)</f>
        <v>0.06</v>
      </c>
      <c r="N19" s="90">
        <f>IF(Section1!$C$25="Yes",0.3,0.06)+IF(Section1!$C$26="Yes",0.333333333*IF(Section1!$C$25="Yes",0.3,0.06),0)+IF(Section1!$C$27="Yes",0.333333333*IF(Section1!$C$25="Yes",0.3,0.06),0)</f>
        <v>0.06</v>
      </c>
      <c r="O19" s="90">
        <f>IF(Section1!$C$25="Yes",0.3,0.06)+IF(Section1!$C$26="Yes",0.333333333*IF(Section1!$C$25="Yes",0.3,0.06),0)+IF(Section1!$C$27="Yes",0.333333333*IF(Section1!$C$25="Yes",0.3,0.06),0)</f>
        <v>0.06</v>
      </c>
      <c r="P19" s="90">
        <f>IF(Section1!$C$25="Yes",0.3,0.06)+IF(Section1!$C$26="Yes",0.333333333*IF(Section1!$C$25="Yes",0.3,0.06),0)+IF(Section1!$C$27="Yes",0.333333333*IF(Section1!$C$25="Yes",0.3,0.06),0)</f>
        <v>0.06</v>
      </c>
      <c r="Q19" s="91">
        <f>IF(Section1!$C$25="Yes",0.3,0.06)+IF(Section1!$C$26="Yes",0.333333333*IF(Section1!$C$25="Yes",0.3,0.06),0)+IF(Section1!$C$27="Yes",0.333333333*IF(Section1!$C$25="Yes",0.3,0.06),0)</f>
        <v>0.06</v>
      </c>
      <c r="R19" s="11"/>
    </row>
    <row r="20" spans="1:18" ht="16.149999999999999" customHeight="1" thickBot="1" x14ac:dyDescent="0.25">
      <c r="A20" s="11"/>
      <c r="B20" s="21" t="s">
        <v>220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2">
        <f>IF(Section1!$C$25="Yes",0.3,0.06)+IF(Section1!$C$26="Yes",0.333333333*IF(Section1!$C$25="Yes",0.3,0.06),0)+IF(Section1!$C$27="Yes",0.333333333*IF(Section1!$C$25="Yes",0.3,0.06),0)</f>
        <v>0.06</v>
      </c>
      <c r="K20" s="92">
        <f>IF(Section1!$C$25="Yes",0.3,0.06)+IF(Section1!$C$26="Yes",0.333333333*IF(Section1!$C$25="Yes",0.3,0.06),0)+IF(Section1!$C$27="Yes",0.333333333*IF(Section1!$C$25="Yes",0.3,0.06),0)</f>
        <v>0.06</v>
      </c>
      <c r="L20" s="92">
        <f>IF(Section1!$C$25="Yes",0.3,0.06)+IF(Section1!$C$26="Yes",0.333333333*IF(Section1!$C$25="Yes",0.3,0.06),0)+IF(Section1!$C$27="Yes",0.333333333*IF(Section1!$C$25="Yes",0.3,0.06),0)</f>
        <v>0.06</v>
      </c>
      <c r="M20" s="92">
        <f>IF(Section1!$C$25="Yes",0.3,0.06)+IF(Section1!$C$26="Yes",0.333333333*IF(Section1!$C$25="Yes",0.3,0.06),0)+IF(Section1!$C$27="Yes",0.333333333*IF(Section1!$C$25="Yes",0.3,0.06),0)</f>
        <v>0.06</v>
      </c>
      <c r="N20" s="92">
        <f>IF(Section1!$C$25="Yes",0.3,0.06)+IF(Section1!$C$26="Yes",0.333333333*IF(Section1!$C$25="Yes",0.3,0.06),0)+IF(Section1!$C$27="Yes",0.333333333*IF(Section1!$C$25="Yes",0.3,0.06),0)</f>
        <v>0.06</v>
      </c>
      <c r="O20" s="92">
        <f>IF(Section1!$C$25="Yes",0.3,0.06)+IF(Section1!$C$26="Yes",0.333333333*IF(Section1!$C$25="Yes",0.3,0.06),0)+IF(Section1!$C$27="Yes",0.333333333*IF(Section1!$C$25="Yes",0.3,0.06),0)</f>
        <v>0.06</v>
      </c>
      <c r="P20" s="92">
        <f>IF(Section1!$C$25="Yes",0.3,0.06)+IF(Section1!$C$26="Yes",0.333333333*IF(Section1!$C$25="Yes",0.3,0.06),0)+IF(Section1!$C$27="Yes",0.333333333*IF(Section1!$C$25="Yes",0.3,0.06),0)</f>
        <v>0.06</v>
      </c>
      <c r="Q20" s="93">
        <f>IF(Section1!$C$25="Yes",0.3,0.06)+IF(Section1!$C$26="Yes",0.333333333*IF(Section1!$C$25="Yes",0.3,0.06),0)+IF(Section1!$C$27="Yes",0.333333333*IF(Section1!$C$25="Yes",0.3,0.06),0)</f>
        <v>0.06</v>
      </c>
      <c r="R20" s="11"/>
    </row>
    <row r="21" spans="1:18" ht="16.149999999999999" customHeight="1" x14ac:dyDescent="0.25">
      <c r="A21" s="128" t="s">
        <v>223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6.149999999999999" hidden="1" customHeight="1" x14ac:dyDescent="0.2"/>
  </sheetData>
  <sheetProtection password="D79C" sheet="1" objects="1" scenarios="1"/>
  <sortState ref="B9:N16">
    <sortCondition ref="B9:B16"/>
  </sortState>
  <mergeCells count="2">
    <mergeCell ref="C2:Q2"/>
    <mergeCell ref="C7:Q7"/>
  </mergeCells>
  <pageMargins left="0.7" right="0.7" top="0.75" bottom="0.75" header="0.3" footer="0.3"/>
  <pageSetup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24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33.28515625" style="47" bestFit="1" customWidth="1"/>
    <col min="3" max="3" width="18.5703125" style="47" customWidth="1"/>
    <col min="4" max="38" width="12.7109375" style="47" customWidth="1"/>
    <col min="39" max="39" width="8.85546875" style="47" customWidth="1"/>
    <col min="40" max="16384" width="8.85546875" style="47" hidden="1"/>
  </cols>
  <sheetData>
    <row r="1" spans="1:39" ht="16.149999999999999" customHeight="1" x14ac:dyDescent="0.25">
      <c r="A1" s="57" t="s">
        <v>226</v>
      </c>
      <c r="B1" s="129" t="s">
        <v>82</v>
      </c>
      <c r="C1" s="130"/>
      <c r="D1" s="130"/>
      <c r="E1" s="130"/>
      <c r="F1" s="130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6.149999999999999" customHeight="1" thickBot="1" x14ac:dyDescent="0.25">
      <c r="A2" s="57"/>
      <c r="B2" s="131"/>
      <c r="C2" s="132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57"/>
    </row>
    <row r="3" spans="1:39" ht="16.149999999999999" customHeight="1" x14ac:dyDescent="0.25">
      <c r="A3" s="57"/>
      <c r="B3" s="168"/>
      <c r="C3" s="133" t="s">
        <v>88</v>
      </c>
      <c r="D3" s="133">
        <v>1</v>
      </c>
      <c r="E3" s="133">
        <f t="shared" ref="E3:W3" si="0">D3+1</f>
        <v>2</v>
      </c>
      <c r="F3" s="133">
        <f t="shared" si="0"/>
        <v>3</v>
      </c>
      <c r="G3" s="133">
        <f t="shared" si="0"/>
        <v>4</v>
      </c>
      <c r="H3" s="133">
        <f t="shared" si="0"/>
        <v>5</v>
      </c>
      <c r="I3" s="133">
        <f t="shared" si="0"/>
        <v>6</v>
      </c>
      <c r="J3" s="133">
        <f t="shared" si="0"/>
        <v>7</v>
      </c>
      <c r="K3" s="133">
        <f t="shared" si="0"/>
        <v>8</v>
      </c>
      <c r="L3" s="133">
        <f t="shared" si="0"/>
        <v>9</v>
      </c>
      <c r="M3" s="133">
        <f t="shared" si="0"/>
        <v>10</v>
      </c>
      <c r="N3" s="133">
        <f t="shared" si="0"/>
        <v>11</v>
      </c>
      <c r="O3" s="133">
        <f t="shared" si="0"/>
        <v>12</v>
      </c>
      <c r="P3" s="133">
        <f t="shared" si="0"/>
        <v>13</v>
      </c>
      <c r="Q3" s="133">
        <f t="shared" si="0"/>
        <v>14</v>
      </c>
      <c r="R3" s="133">
        <f t="shared" si="0"/>
        <v>15</v>
      </c>
      <c r="S3" s="133">
        <f t="shared" si="0"/>
        <v>16</v>
      </c>
      <c r="T3" s="133">
        <f t="shared" si="0"/>
        <v>17</v>
      </c>
      <c r="U3" s="133">
        <f t="shared" si="0"/>
        <v>18</v>
      </c>
      <c r="V3" s="133">
        <f t="shared" si="0"/>
        <v>19</v>
      </c>
      <c r="W3" s="133">
        <f t="shared" si="0"/>
        <v>20</v>
      </c>
      <c r="X3" s="133">
        <f t="shared" ref="X3" si="1">W3+1</f>
        <v>21</v>
      </c>
      <c r="Y3" s="133">
        <f t="shared" ref="Y3" si="2">X3+1</f>
        <v>22</v>
      </c>
      <c r="Z3" s="133">
        <f t="shared" ref="Z3" si="3">Y3+1</f>
        <v>23</v>
      </c>
      <c r="AA3" s="133">
        <f t="shared" ref="AA3" si="4">Z3+1</f>
        <v>24</v>
      </c>
      <c r="AB3" s="133">
        <f t="shared" ref="AB3" si="5">AA3+1</f>
        <v>25</v>
      </c>
      <c r="AC3" s="133">
        <f t="shared" ref="AC3" si="6">AB3+1</f>
        <v>26</v>
      </c>
      <c r="AD3" s="133">
        <f t="shared" ref="AD3" si="7">AC3+1</f>
        <v>27</v>
      </c>
      <c r="AE3" s="133">
        <f t="shared" ref="AE3" si="8">AD3+1</f>
        <v>28</v>
      </c>
      <c r="AF3" s="133">
        <f t="shared" ref="AF3" si="9">AE3+1</f>
        <v>29</v>
      </c>
      <c r="AG3" s="133">
        <f t="shared" ref="AG3" si="10">AF3+1</f>
        <v>30</v>
      </c>
      <c r="AH3" s="133">
        <f t="shared" ref="AH3" si="11">AG3+1</f>
        <v>31</v>
      </c>
      <c r="AI3" s="133">
        <f t="shared" ref="AI3" si="12">AH3+1</f>
        <v>32</v>
      </c>
      <c r="AJ3" s="133">
        <f t="shared" ref="AJ3" si="13">AI3+1</f>
        <v>33</v>
      </c>
      <c r="AK3" s="133">
        <f t="shared" ref="AK3" si="14">AJ3+1</f>
        <v>34</v>
      </c>
      <c r="AL3" s="133">
        <f t="shared" ref="AL3" si="15">AK3+1</f>
        <v>35</v>
      </c>
      <c r="AM3" s="57"/>
    </row>
    <row r="4" spans="1:39" ht="16.149999999999999" customHeight="1" thickBot="1" x14ac:dyDescent="0.3">
      <c r="A4" s="57"/>
      <c r="B4" s="169"/>
      <c r="C4" s="134">
        <f>DATE(LEFT(Section1!$C$3,4)*1,6,1)</f>
        <v>46174</v>
      </c>
      <c r="D4" s="134">
        <f>DATE(LEFT(Section1!$C$3,4)*1+D3-1,12,1)</f>
        <v>46357</v>
      </c>
      <c r="E4" s="134">
        <f>DATE(LEFT(Section1!$C$3,4)*1+E3-1,12,1)</f>
        <v>46722</v>
      </c>
      <c r="F4" s="134">
        <f>DATE(LEFT(Section1!$C$3,4)*1+F3-1,12,1)</f>
        <v>47088</v>
      </c>
      <c r="G4" s="134">
        <f>DATE(LEFT(Section1!$C$3,4)*1+G3-1,12,1)</f>
        <v>47453</v>
      </c>
      <c r="H4" s="134">
        <f>DATE(LEFT(Section1!$C$3,4)*1+H3-1,12,1)</f>
        <v>47818</v>
      </c>
      <c r="I4" s="134">
        <f>DATE(LEFT(Section1!$C$3,4)*1+I3-1,12,1)</f>
        <v>48183</v>
      </c>
      <c r="J4" s="134">
        <f>DATE(LEFT(Section1!$C$3,4)*1+J3-1,12,1)</f>
        <v>48549</v>
      </c>
      <c r="K4" s="134">
        <f>DATE(LEFT(Section1!$C$3,4)*1+K3-1,12,1)</f>
        <v>48914</v>
      </c>
      <c r="L4" s="134">
        <f>DATE(LEFT(Section1!$C$3,4)*1+L3-1,12,1)</f>
        <v>49279</v>
      </c>
      <c r="M4" s="134">
        <f>DATE(LEFT(Section1!$C$3,4)*1+M3-1,12,1)</f>
        <v>49644</v>
      </c>
      <c r="N4" s="134">
        <f>DATE(LEFT(Section1!$C$3,4)*1+N3-1,12,1)</f>
        <v>50010</v>
      </c>
      <c r="O4" s="134">
        <f>DATE(LEFT(Section1!$C$3,4)*1+O3-1,12,1)</f>
        <v>50375</v>
      </c>
      <c r="P4" s="134">
        <f>DATE(LEFT(Section1!$C$3,4)*1+P3-1,12,1)</f>
        <v>50740</v>
      </c>
      <c r="Q4" s="134">
        <f>DATE(LEFT(Section1!$C$3,4)*1+Q3-1,12,1)</f>
        <v>51105</v>
      </c>
      <c r="R4" s="134">
        <f>DATE(LEFT(Section1!$C$3,4)*1+R3-1,12,1)</f>
        <v>51471</v>
      </c>
      <c r="S4" s="134">
        <f>DATE(LEFT(Section1!$C$3,4)*1+S3-1,12,1)</f>
        <v>51836</v>
      </c>
      <c r="T4" s="134">
        <f>DATE(LEFT(Section1!$C$3,4)*1+T3-1,12,1)</f>
        <v>52201</v>
      </c>
      <c r="U4" s="134">
        <f>DATE(LEFT(Section1!$C$3,4)*1+U3-1,12,1)</f>
        <v>52566</v>
      </c>
      <c r="V4" s="134">
        <f>DATE(LEFT(Section1!$C$3,4)*1+V3-1,12,1)</f>
        <v>52932</v>
      </c>
      <c r="W4" s="134">
        <f>DATE(LEFT(Section1!$C$3,4)*1+W3-1,12,1)</f>
        <v>53297</v>
      </c>
      <c r="X4" s="134">
        <f>DATE(LEFT(Section1!$C$3,4)*1+X3-1,12,1)</f>
        <v>53662</v>
      </c>
      <c r="Y4" s="134">
        <f>DATE(LEFT(Section1!$C$3,4)*1+Y3-1,12,1)</f>
        <v>54027</v>
      </c>
      <c r="Z4" s="134">
        <f>DATE(LEFT(Section1!$C$3,4)*1+Z3-1,12,1)</f>
        <v>54393</v>
      </c>
      <c r="AA4" s="134">
        <f>DATE(LEFT(Section1!$C$3,4)*1+AA3-1,12,1)</f>
        <v>54758</v>
      </c>
      <c r="AB4" s="134">
        <f>DATE(LEFT(Section1!$C$3,4)*1+AB3-1,12,1)</f>
        <v>55123</v>
      </c>
      <c r="AC4" s="134">
        <f>DATE(LEFT(Section1!$C$3,4)*1+AC3-1,12,1)</f>
        <v>55488</v>
      </c>
      <c r="AD4" s="134">
        <f>DATE(LEFT(Section1!$C$3,4)*1+AD3-1,12,1)</f>
        <v>55854</v>
      </c>
      <c r="AE4" s="134">
        <f>DATE(LEFT(Section1!$C$3,4)*1+AE3-1,12,1)</f>
        <v>56219</v>
      </c>
      <c r="AF4" s="134">
        <f>DATE(LEFT(Section1!$C$3,4)*1+AF3-1,12,1)</f>
        <v>56584</v>
      </c>
      <c r="AG4" s="134">
        <f>DATE(LEFT(Section1!$C$3,4)*1+AG3-1,12,1)</f>
        <v>56949</v>
      </c>
      <c r="AH4" s="134">
        <f>DATE(LEFT(Section1!$C$3,4)*1+AH3-1,12,1)</f>
        <v>57315</v>
      </c>
      <c r="AI4" s="134">
        <f>DATE(LEFT(Section1!$C$3,4)*1+AI3-1,12,1)</f>
        <v>57680</v>
      </c>
      <c r="AJ4" s="134">
        <f>DATE(LEFT(Section1!$C$3,4)*1+AJ3-1,12,1)</f>
        <v>58045</v>
      </c>
      <c r="AK4" s="134">
        <f>DATE(LEFT(Section1!$C$3,4)*1+AK3-1,12,1)</f>
        <v>58410</v>
      </c>
      <c r="AL4" s="134">
        <f>DATE(LEFT(Section1!$C$3,4)*1+AL3-1,12,1)</f>
        <v>58776</v>
      </c>
      <c r="AM4" s="57"/>
    </row>
    <row r="5" spans="1:39" ht="16.149999999999999" customHeight="1" x14ac:dyDescent="0.2">
      <c r="A5" s="57"/>
      <c r="B5" s="135" t="s">
        <v>83</v>
      </c>
      <c r="C5" s="136"/>
      <c r="D5" s="137">
        <f>IF(VLOOKUP(Section1!$C$12,DropDown!$B$9:$C$29,2,FALSE)="Non ELCC",Section1!$C$13,Section1!$C$15)</f>
        <v>357</v>
      </c>
      <c r="E5" s="137">
        <f>IF(ISNUMBER(SEARCH("Solar",Section1!$C$12)),D5*(1-Section1!$C$21),D5)</f>
        <v>357</v>
      </c>
      <c r="F5" s="137">
        <f>IF(ISNUMBER(SEARCH("Solar",Section1!$C$12)),E5*(1-Section1!$C$21),E5)</f>
        <v>357</v>
      </c>
      <c r="G5" s="137">
        <f>IF(ISNUMBER(SEARCH("Solar",Section1!$C$12)),F5*(1-Section1!$C$21),F5)</f>
        <v>357</v>
      </c>
      <c r="H5" s="137">
        <f>IF(ISNUMBER(SEARCH("Solar",Section1!$C$12)),G5*(1-Section1!$C$21),G5)</f>
        <v>357</v>
      </c>
      <c r="I5" s="137">
        <f>IF(ISNUMBER(SEARCH("Solar",Section1!$C$12)),H5*(1-Section1!$C$21),H5)</f>
        <v>357</v>
      </c>
      <c r="J5" s="137">
        <f>IF(ISNUMBER(SEARCH("Solar",Section1!$C$12)),I5*(1-Section1!$C$21),I5)</f>
        <v>357</v>
      </c>
      <c r="K5" s="137">
        <f>IF(ISNUMBER(SEARCH("Solar",Section1!$C$12)),J5*(1-Section1!$C$21),J5)</f>
        <v>357</v>
      </c>
      <c r="L5" s="137">
        <f>IF(ISNUMBER(SEARCH("Solar",Section1!$C$12)),K5*(1-Section1!$C$21),K5)</f>
        <v>357</v>
      </c>
      <c r="M5" s="137">
        <f>IF(ISNUMBER(SEARCH("Solar",Section1!$C$12)),L5*(1-Section1!$C$21),L5)</f>
        <v>357</v>
      </c>
      <c r="N5" s="137">
        <f>IF(ISNUMBER(SEARCH("Solar",Section1!$C$12)),M5*(1-Section1!$C$21),M5)</f>
        <v>357</v>
      </c>
      <c r="O5" s="137">
        <f>IF(ISNUMBER(SEARCH("Solar",Section1!$C$12)),N5*(1-Section1!$C$21),N5)</f>
        <v>357</v>
      </c>
      <c r="P5" s="137">
        <f>IF(ISNUMBER(SEARCH("Solar",Section1!$C$12)),O5*(1-Section1!$C$21),O5)</f>
        <v>357</v>
      </c>
      <c r="Q5" s="137">
        <f>IF(ISNUMBER(SEARCH("Solar",Section1!$C$12)),P5*(1-Section1!$C$21),P5)</f>
        <v>357</v>
      </c>
      <c r="R5" s="137">
        <f>IF(ISNUMBER(SEARCH("Solar",Section1!$C$12)),Q5*(1-Section1!$C$21),Q5)</f>
        <v>357</v>
      </c>
      <c r="S5" s="137">
        <f>IF(ISNUMBER(SEARCH("Solar",Section1!$C$12)),R5*(1-Section1!$C$21),R5)</f>
        <v>357</v>
      </c>
      <c r="T5" s="137">
        <f>IF(ISNUMBER(SEARCH("Solar",Section1!$C$12)),S5*(1-Section1!$C$21),S5)</f>
        <v>357</v>
      </c>
      <c r="U5" s="137">
        <f>IF(ISNUMBER(SEARCH("Solar",Section1!$C$12)),T5*(1-Section1!$C$21),T5)</f>
        <v>357</v>
      </c>
      <c r="V5" s="137">
        <f>IF(ISNUMBER(SEARCH("Solar",Section1!$C$12)),U5*(1-Section1!$C$21),U5)</f>
        <v>357</v>
      </c>
      <c r="W5" s="137">
        <f>IF(ISNUMBER(SEARCH("Solar",Section1!$C$12)),V5*(1-Section1!$C$21),V5)</f>
        <v>357</v>
      </c>
      <c r="X5" s="137">
        <f>IF(ISNUMBER(SEARCH("Solar",Section1!$C$12)),W5*(1-Section1!$C$21),W5)</f>
        <v>357</v>
      </c>
      <c r="Y5" s="137">
        <f>IF(ISNUMBER(SEARCH("Solar",Section1!$C$12)),X5*(1-Section1!$C$21),X5)</f>
        <v>357</v>
      </c>
      <c r="Z5" s="137">
        <f>IF(ISNUMBER(SEARCH("Solar",Section1!$C$12)),Y5*(1-Section1!$C$21),Y5)</f>
        <v>357</v>
      </c>
      <c r="AA5" s="137">
        <f>IF(ISNUMBER(SEARCH("Solar",Section1!$C$12)),Z5*(1-Section1!$C$21),Z5)</f>
        <v>357</v>
      </c>
      <c r="AB5" s="137">
        <f>IF(ISNUMBER(SEARCH("Solar",Section1!$C$12)),AA5*(1-Section1!$C$21),AA5)</f>
        <v>357</v>
      </c>
      <c r="AC5" s="137">
        <f>IF(ISNUMBER(SEARCH("Solar",Section1!$C$12)),AB5*(1-Section1!$C$21),AB5)</f>
        <v>357</v>
      </c>
      <c r="AD5" s="137">
        <f>IF(ISNUMBER(SEARCH("Solar",Section1!$C$12)),AC5*(1-Section1!$C$21),AC5)</f>
        <v>357</v>
      </c>
      <c r="AE5" s="137">
        <f>IF(ISNUMBER(SEARCH("Solar",Section1!$C$12)),AD5*(1-Section1!$C$21),AD5)</f>
        <v>357</v>
      </c>
      <c r="AF5" s="137">
        <f>IF(ISNUMBER(SEARCH("Solar",Section1!$C$12)),AE5*(1-Section1!$C$21),AE5)</f>
        <v>357</v>
      </c>
      <c r="AG5" s="137">
        <f>IF(ISNUMBER(SEARCH("Solar",Section1!$C$12)),AF5*(1-Section1!$C$21),AF5)</f>
        <v>357</v>
      </c>
      <c r="AH5" s="137">
        <f>IF(ISNUMBER(SEARCH("Solar",Section1!$C$12)),AG5*(1-Section1!$C$21),AG5)</f>
        <v>357</v>
      </c>
      <c r="AI5" s="137">
        <f>IF(ISNUMBER(SEARCH("Solar",Section1!$C$12)),AH5*(1-Section1!$C$21),AH5)</f>
        <v>357</v>
      </c>
      <c r="AJ5" s="137">
        <f>IF(ISNUMBER(SEARCH("Solar",Section1!$C$12)),AI5*(1-Section1!$C$21),AI5)</f>
        <v>357</v>
      </c>
      <c r="AK5" s="137">
        <f>IF(ISNUMBER(SEARCH("Solar",Section1!$C$12)),AJ5*(1-Section1!$C$21),AJ5)</f>
        <v>357</v>
      </c>
      <c r="AL5" s="137">
        <f>IF(ISNUMBER(SEARCH("Solar",Section1!$C$12)),AK5*(1-Section1!$C$21),AK5)</f>
        <v>357</v>
      </c>
      <c r="AM5" s="57"/>
    </row>
    <row r="6" spans="1:39" ht="16.149999999999999" customHeight="1" x14ac:dyDescent="0.2">
      <c r="A6" s="57"/>
      <c r="B6" s="135"/>
      <c r="C6" s="136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57"/>
    </row>
    <row r="7" spans="1:39" ht="16.149999999999999" customHeight="1" x14ac:dyDescent="0.2">
      <c r="A7" s="57"/>
      <c r="B7" s="135" t="s">
        <v>214</v>
      </c>
      <c r="C7" s="138"/>
      <c r="D7" s="139">
        <f>Section10!$C$7*D5*365/1000000</f>
        <v>55.660309543636409</v>
      </c>
      <c r="E7" s="139">
        <f>Section10!$C$7*E5*365/1000000</f>
        <v>55.660309543636409</v>
      </c>
      <c r="F7" s="139">
        <f>Section10!$C$7*F5*365/1000000</f>
        <v>55.660309543636409</v>
      </c>
      <c r="G7" s="139">
        <f>Section10!$C$7*G5*365/1000000</f>
        <v>55.660309543636409</v>
      </c>
      <c r="H7" s="139">
        <f>Section10!$C$7*H5*365/1000000</f>
        <v>55.660309543636409</v>
      </c>
      <c r="I7" s="139">
        <f>Section10!$C$7*I5*365/1000000</f>
        <v>55.660309543636409</v>
      </c>
      <c r="J7" s="139">
        <f>Section10!$C$7*J5*365/1000000</f>
        <v>55.660309543636409</v>
      </c>
      <c r="K7" s="139">
        <f>Section10!$C$7*K5*365/1000000</f>
        <v>55.660309543636409</v>
      </c>
      <c r="L7" s="139">
        <f>Section10!$C$7*L5*365/1000000</f>
        <v>55.660309543636409</v>
      </c>
      <c r="M7" s="139">
        <f>Section10!$C$7*M5*365/1000000</f>
        <v>55.660309543636409</v>
      </c>
      <c r="N7" s="139">
        <f>Section10!$C$7*N5*365/1000000</f>
        <v>55.660309543636409</v>
      </c>
      <c r="O7" s="139">
        <f>Section10!$C$7*O5*365/1000000</f>
        <v>55.660309543636409</v>
      </c>
      <c r="P7" s="139">
        <f>Section10!$C$7*P5*365/1000000</f>
        <v>55.660309543636409</v>
      </c>
      <c r="Q7" s="139">
        <f>Section10!$C$7*Q5*365/1000000</f>
        <v>55.660309543636409</v>
      </c>
      <c r="R7" s="139">
        <f>Section10!$C$7*R5*365/1000000</f>
        <v>55.660309543636409</v>
      </c>
      <c r="S7" s="139">
        <f>Section10!$C$7*S5*365/1000000</f>
        <v>55.660309543636409</v>
      </c>
      <c r="T7" s="139">
        <f>Section10!$C$7*T5*365/1000000</f>
        <v>55.660309543636409</v>
      </c>
      <c r="U7" s="139">
        <f>Section10!$C$7*U5*365/1000000</f>
        <v>55.660309543636409</v>
      </c>
      <c r="V7" s="139">
        <f>Section10!$C$7*V5*365/1000000</f>
        <v>55.660309543636409</v>
      </c>
      <c r="W7" s="139">
        <f>Section10!$C$7*W5*365/1000000</f>
        <v>55.660309543636409</v>
      </c>
      <c r="X7" s="139">
        <f>Section10!$C$7*X5*365/1000000</f>
        <v>55.660309543636409</v>
      </c>
      <c r="Y7" s="139">
        <f>Section10!$C$7*Y5*365/1000000</f>
        <v>55.660309543636409</v>
      </c>
      <c r="Z7" s="139">
        <f>Section10!$C$7*Z5*365/1000000</f>
        <v>55.660309543636409</v>
      </c>
      <c r="AA7" s="139">
        <f>Section10!$C$7*AA5*365/1000000</f>
        <v>55.660309543636409</v>
      </c>
      <c r="AB7" s="139">
        <f>Section10!$C$7*AB5*365/1000000</f>
        <v>55.660309543636409</v>
      </c>
      <c r="AC7" s="139">
        <f>Section10!$C$7*AC5*365/1000000</f>
        <v>55.660309543636409</v>
      </c>
      <c r="AD7" s="139">
        <f>Section10!$C$7*AD5*365/1000000</f>
        <v>55.660309543636409</v>
      </c>
      <c r="AE7" s="139">
        <f>Section10!$C$7*AE5*365/1000000</f>
        <v>55.660309543636409</v>
      </c>
      <c r="AF7" s="139">
        <f>Section10!$C$7*AF5*365/1000000</f>
        <v>55.660309543636409</v>
      </c>
      <c r="AG7" s="139">
        <f>Section10!$C$7*AG5*365/1000000</f>
        <v>55.660309543636409</v>
      </c>
      <c r="AH7" s="139">
        <f>Section10!$C$7*AH5*365/1000000</f>
        <v>55.660309543636409</v>
      </c>
      <c r="AI7" s="139">
        <f>Section10!$C$7*AI5*365/1000000</f>
        <v>55.660309543636409</v>
      </c>
      <c r="AJ7" s="139">
        <f>Section10!$C$7*AJ5*365/1000000</f>
        <v>55.660309543636409</v>
      </c>
      <c r="AK7" s="139">
        <f>Section10!$C$7*AK5*365/1000000</f>
        <v>55.660309543636409</v>
      </c>
      <c r="AL7" s="139">
        <f>Section10!$C$7*AL5*365/1000000</f>
        <v>55.660309543636409</v>
      </c>
      <c r="AM7" s="57"/>
    </row>
    <row r="8" spans="1:39" ht="16.149999999999999" customHeight="1" thickBot="1" x14ac:dyDescent="0.25">
      <c r="A8" s="57"/>
      <c r="B8" s="140" t="s">
        <v>215</v>
      </c>
      <c r="C8" s="141"/>
      <c r="D8" s="142">
        <f>-SUM(Section4!C3:C15)/1000</f>
        <v>-14.279999999999998</v>
      </c>
      <c r="E8" s="142">
        <f>-SUM(Section4!D3:D15)/1000</f>
        <v>-14.594159999999999</v>
      </c>
      <c r="F8" s="142">
        <f>-SUM(Section4!E3:E15)/1000</f>
        <v>-14.915231519999997</v>
      </c>
      <c r="G8" s="142">
        <f>-SUM(Section4!F3:F15)/1000</f>
        <v>-15.243366613439997</v>
      </c>
      <c r="H8" s="142">
        <f>-SUM(Section4!G3:G15)/1000</f>
        <v>-15.578720678935676</v>
      </c>
      <c r="I8" s="142">
        <f>-SUM(Section4!H3:H15)/1000</f>
        <v>-15.921452533872262</v>
      </c>
      <c r="J8" s="142">
        <f>-SUM(Section4!I3:I15)/1000</f>
        <v>-16.271724489617451</v>
      </c>
      <c r="K8" s="142">
        <f>-SUM(Section4!J3:J15)/1000</f>
        <v>-16.629702428389034</v>
      </c>
      <c r="L8" s="142">
        <f>-SUM(Section4!K3:K15)/1000</f>
        <v>-16.995555881813594</v>
      </c>
      <c r="M8" s="142">
        <f>-SUM(Section4!L3:L15)/1000</f>
        <v>-17.369458111213493</v>
      </c>
      <c r="N8" s="142">
        <f>-SUM(Section4!M3:M15)/1000</f>
        <v>-17.751586189660191</v>
      </c>
      <c r="O8" s="142">
        <f>-SUM(Section4!N3:N15)/1000</f>
        <v>-18.142121085832716</v>
      </c>
      <c r="P8" s="142">
        <f>-SUM(Section4!O3:O15)/1000</f>
        <v>-18.541247749721038</v>
      </c>
      <c r="Q8" s="142">
        <f>-SUM(Section4!P3:P15)/1000</f>
        <v>-18.9491552002149</v>
      </c>
      <c r="R8" s="142">
        <f>-SUM(Section4!Q3:Q15)/1000</f>
        <v>-19.366036614619627</v>
      </c>
      <c r="S8" s="142">
        <f>-SUM(Section4!R3:R15)/1000</f>
        <v>-19.792089420141259</v>
      </c>
      <c r="T8" s="142">
        <f>-SUM(Section4!S3:S15)/1000</f>
        <v>-20.227515387384365</v>
      </c>
      <c r="U8" s="142">
        <f>-SUM(Section4!T3:T15)/1000</f>
        <v>-20.672520725906821</v>
      </c>
      <c r="V8" s="142">
        <f>-SUM(Section4!U3:U15)/1000</f>
        <v>-21.127316181876772</v>
      </c>
      <c r="W8" s="142">
        <f>-SUM(Section4!V3:V15)/1000</f>
        <v>-21.592117137878063</v>
      </c>
      <c r="X8" s="142">
        <f>-SUM(Section4!W3:W15)/1000</f>
        <v>-22.067143714911381</v>
      </c>
      <c r="Y8" s="142">
        <f>-SUM(Section4!X3:X15)/1000</f>
        <v>-22.55262087663943</v>
      </c>
      <c r="Z8" s="142">
        <f>-SUM(Section4!Y3:Y15)/1000</f>
        <v>-23.0487785359255</v>
      </c>
      <c r="AA8" s="142">
        <f>-SUM(Section4!Z3:Z15)/1000</f>
        <v>-23.55585166371586</v>
      </c>
      <c r="AB8" s="142">
        <f>-SUM(Section4!AA3:AA15)/1000</f>
        <v>-24.074080400317609</v>
      </c>
      <c r="AC8" s="142">
        <f>-SUM(Section4!AB3:AB15)/1000</f>
        <v>-24.603710169124597</v>
      </c>
      <c r="AD8" s="142">
        <f>-SUM(Section4!AC3:AC15)/1000</f>
        <v>-25.144991792845335</v>
      </c>
      <c r="AE8" s="142">
        <f>-SUM(Section4!AD3:AD15)/1000</f>
        <v>-25.698181612287936</v>
      </c>
      <c r="AF8" s="142">
        <f>-SUM(Section4!AE3:AE15)/1000</f>
        <v>-26.26354160775827</v>
      </c>
      <c r="AG8" s="142">
        <f>-SUM(Section4!AF3:AF15)/1000</f>
        <v>-26.841339523128955</v>
      </c>
      <c r="AH8" s="142">
        <f>-SUM(Section4!AG3:AG15)/1000</f>
        <v>-27.431848992637793</v>
      </c>
      <c r="AI8" s="142">
        <f>-SUM(Section4!AH3:AH15)/1000</f>
        <v>-28.035349670475821</v>
      </c>
      <c r="AJ8" s="142">
        <f>-SUM(Section4!AI3:AI15)/1000</f>
        <v>-28.652127363226288</v>
      </c>
      <c r="AK8" s="142">
        <f>-SUM(Section4!AJ3:AJ15)/1000</f>
        <v>-29.282474165217266</v>
      </c>
      <c r="AL8" s="142">
        <f>-SUM(Section4!AK3:AK15)/1000</f>
        <v>-29.926688596852049</v>
      </c>
      <c r="AM8" s="57"/>
    </row>
    <row r="9" spans="1:39" ht="16.149999999999999" customHeight="1" x14ac:dyDescent="0.2">
      <c r="A9" s="57"/>
      <c r="B9" s="135" t="s">
        <v>36</v>
      </c>
      <c r="C9" s="138"/>
      <c r="D9" s="139">
        <f>SUM(D7:D8)</f>
        <v>41.380309543636415</v>
      </c>
      <c r="E9" s="139">
        <f t="shared" ref="E9:AL9" si="16">SUM(E7:E8)</f>
        <v>41.066149543636413</v>
      </c>
      <c r="F9" s="139">
        <f t="shared" si="16"/>
        <v>40.74507802363641</v>
      </c>
      <c r="G9" s="139">
        <f t="shared" si="16"/>
        <v>40.416942930196413</v>
      </c>
      <c r="H9" s="139">
        <f t="shared" si="16"/>
        <v>40.081588864700734</v>
      </c>
      <c r="I9" s="139">
        <f t="shared" si="16"/>
        <v>39.738857009764146</v>
      </c>
      <c r="J9" s="139">
        <f t="shared" si="16"/>
        <v>39.388585054018961</v>
      </c>
      <c r="K9" s="139">
        <f t="shared" si="16"/>
        <v>39.030607115247378</v>
      </c>
      <c r="L9" s="139">
        <f t="shared" si="16"/>
        <v>38.664753661822814</v>
      </c>
      <c r="M9" s="139">
        <f t="shared" si="16"/>
        <v>38.290851432422912</v>
      </c>
      <c r="N9" s="139">
        <f t="shared" si="16"/>
        <v>37.908723353976214</v>
      </c>
      <c r="O9" s="139">
        <f t="shared" si="16"/>
        <v>37.518188457803689</v>
      </c>
      <c r="P9" s="139">
        <f t="shared" si="16"/>
        <v>37.119061793915371</v>
      </c>
      <c r="Q9" s="139">
        <f t="shared" si="16"/>
        <v>36.711154343421512</v>
      </c>
      <c r="R9" s="139">
        <f t="shared" si="16"/>
        <v>36.294272929016785</v>
      </c>
      <c r="S9" s="139">
        <f t="shared" si="16"/>
        <v>35.868220123495149</v>
      </c>
      <c r="T9" s="139">
        <f t="shared" si="16"/>
        <v>35.432794156252044</v>
      </c>
      <c r="U9" s="139">
        <f t="shared" si="16"/>
        <v>34.987788817729587</v>
      </c>
      <c r="V9" s="139">
        <f t="shared" si="16"/>
        <v>34.532993361759637</v>
      </c>
      <c r="W9" s="139">
        <f t="shared" si="16"/>
        <v>34.068192405758346</v>
      </c>
      <c r="X9" s="139">
        <f t="shared" si="16"/>
        <v>33.593165828725027</v>
      </c>
      <c r="Y9" s="139">
        <f t="shared" si="16"/>
        <v>33.107688666996978</v>
      </c>
      <c r="Z9" s="139">
        <f t="shared" si="16"/>
        <v>32.611531007710909</v>
      </c>
      <c r="AA9" s="139">
        <f t="shared" si="16"/>
        <v>32.104457879920545</v>
      </c>
      <c r="AB9" s="139">
        <f t="shared" si="16"/>
        <v>31.5862291433188</v>
      </c>
      <c r="AC9" s="139">
        <f t="shared" si="16"/>
        <v>31.056599374511812</v>
      </c>
      <c r="AD9" s="139">
        <f t="shared" si="16"/>
        <v>30.515317750791073</v>
      </c>
      <c r="AE9" s="139">
        <f t="shared" si="16"/>
        <v>29.962127931348473</v>
      </c>
      <c r="AF9" s="139">
        <f t="shared" si="16"/>
        <v>29.396767935878138</v>
      </c>
      <c r="AG9" s="139">
        <f t="shared" si="16"/>
        <v>28.818970020507454</v>
      </c>
      <c r="AH9" s="139">
        <f t="shared" si="16"/>
        <v>28.228460550998616</v>
      </c>
      <c r="AI9" s="139">
        <f t="shared" si="16"/>
        <v>27.624959873160588</v>
      </c>
      <c r="AJ9" s="139">
        <f t="shared" si="16"/>
        <v>27.00818218041012</v>
      </c>
      <c r="AK9" s="139">
        <f t="shared" si="16"/>
        <v>26.377835378419142</v>
      </c>
      <c r="AL9" s="139">
        <f t="shared" si="16"/>
        <v>25.73362094678436</v>
      </c>
      <c r="AM9" s="57"/>
    </row>
    <row r="10" spans="1:39" ht="16.149999999999999" customHeight="1" x14ac:dyDescent="0.2">
      <c r="A10" s="57"/>
      <c r="B10" s="135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57"/>
    </row>
    <row r="11" spans="1:39" ht="16.149999999999999" customHeight="1" x14ac:dyDescent="0.2">
      <c r="A11" s="57"/>
      <c r="B11" s="143" t="s">
        <v>35</v>
      </c>
      <c r="C11" s="139"/>
      <c r="D11" s="139">
        <f>-Section6!D5/1000</f>
        <v>0</v>
      </c>
      <c r="E11" s="139">
        <f>-Section6!E5/1000</f>
        <v>0</v>
      </c>
      <c r="F11" s="139">
        <f>-Section6!F5/1000</f>
        <v>0</v>
      </c>
      <c r="G11" s="139">
        <f>-Section6!G5/1000</f>
        <v>0</v>
      </c>
      <c r="H11" s="139">
        <f>-Section6!H5/1000</f>
        <v>0</v>
      </c>
      <c r="I11" s="139">
        <f>-Section6!I5/1000</f>
        <v>0</v>
      </c>
      <c r="J11" s="139">
        <f>-Section6!J5/1000</f>
        <v>0</v>
      </c>
      <c r="K11" s="139">
        <f>-Section6!K5/1000</f>
        <v>0</v>
      </c>
      <c r="L11" s="139">
        <f>-Section6!L5/1000</f>
        <v>0</v>
      </c>
      <c r="M11" s="139">
        <f>-Section6!M5/1000</f>
        <v>0</v>
      </c>
      <c r="N11" s="139">
        <f>-Section6!N5/1000</f>
        <v>0</v>
      </c>
      <c r="O11" s="139">
        <f>-Section6!O5/1000</f>
        <v>0</v>
      </c>
      <c r="P11" s="139">
        <f>-Section6!P5/1000</f>
        <v>0</v>
      </c>
      <c r="Q11" s="139">
        <f>-Section6!Q5/1000</f>
        <v>0</v>
      </c>
      <c r="R11" s="139">
        <f>-Section6!R5/1000</f>
        <v>0</v>
      </c>
      <c r="S11" s="139">
        <f>-Section6!S5/1000</f>
        <v>0</v>
      </c>
      <c r="T11" s="139">
        <f>-Section6!T5/1000</f>
        <v>0</v>
      </c>
      <c r="U11" s="139">
        <f>-Section6!U5/1000</f>
        <v>0</v>
      </c>
      <c r="V11" s="139">
        <f>-Section6!V5/1000</f>
        <v>0</v>
      </c>
      <c r="W11" s="139">
        <f>-Section6!W5/1000</f>
        <v>0</v>
      </c>
      <c r="X11" s="139">
        <f>-Section6!X5/1000</f>
        <v>0</v>
      </c>
      <c r="Y11" s="139">
        <f>-Section6!Y5/1000</f>
        <v>0</v>
      </c>
      <c r="Z11" s="139">
        <f>-Section6!Z5/1000</f>
        <v>0</v>
      </c>
      <c r="AA11" s="139">
        <f>-Section6!AA5/1000</f>
        <v>0</v>
      </c>
      <c r="AB11" s="139">
        <f>-Section6!AB5/1000</f>
        <v>0</v>
      </c>
      <c r="AC11" s="139">
        <f>-Section6!AC5/1000</f>
        <v>0</v>
      </c>
      <c r="AD11" s="139">
        <f>-Section6!AD5/1000</f>
        <v>0</v>
      </c>
      <c r="AE11" s="139">
        <f>-Section6!AE5/1000</f>
        <v>0</v>
      </c>
      <c r="AF11" s="139">
        <f>-Section6!AF5/1000</f>
        <v>0</v>
      </c>
      <c r="AG11" s="139">
        <f>-Section6!AG5/1000</f>
        <v>0</v>
      </c>
      <c r="AH11" s="139">
        <f>-Section6!AH5/1000</f>
        <v>0</v>
      </c>
      <c r="AI11" s="139">
        <f>-Section6!AI5/1000</f>
        <v>0</v>
      </c>
      <c r="AJ11" s="139">
        <f>-Section6!AJ5/1000</f>
        <v>0</v>
      </c>
      <c r="AK11" s="139">
        <f>-Section6!AK5/1000</f>
        <v>0</v>
      </c>
      <c r="AL11" s="139">
        <f>-Section6!AL5/1000</f>
        <v>0</v>
      </c>
      <c r="AM11" s="57"/>
    </row>
    <row r="12" spans="1:39" ht="16.149999999999999" customHeight="1" thickBot="1" x14ac:dyDescent="0.25">
      <c r="A12" s="57"/>
      <c r="B12" s="144" t="s">
        <v>0</v>
      </c>
      <c r="C12" s="141"/>
      <c r="D12" s="142">
        <f>-Section8!D4/1000</f>
        <v>-79.425360000000012</v>
      </c>
      <c r="E12" s="142">
        <f>-Section8!E4/1000</f>
        <v>-25.151364000000004</v>
      </c>
      <c r="F12" s="142">
        <f>-Section8!F4/1000</f>
        <v>-22.636227600000005</v>
      </c>
      <c r="G12" s="142">
        <f>-Section8!G4/1000</f>
        <v>-20.372604840000005</v>
      </c>
      <c r="H12" s="142">
        <f>-Section8!H4/1000</f>
        <v>-18.335344356000004</v>
      </c>
      <c r="I12" s="142">
        <f>-Section8!I4/1000</f>
        <v>-16.501809920400003</v>
      </c>
      <c r="J12" s="142">
        <f>-Section8!J4/1000</f>
        <v>-15.633293608800003</v>
      </c>
      <c r="K12" s="142">
        <f>-Section8!K4/1000</f>
        <v>-15.633293608800003</v>
      </c>
      <c r="L12" s="142">
        <f>-Section8!L4/1000</f>
        <v>-15.633293608800003</v>
      </c>
      <c r="M12" s="142">
        <f>-Section8!M4/1000</f>
        <v>-15.633293608800003</v>
      </c>
      <c r="N12" s="142">
        <f>-Section8!N4/1000</f>
        <v>-15.633293608800003</v>
      </c>
      <c r="O12" s="142">
        <f>-Section8!O4/1000</f>
        <v>-15.633293608800003</v>
      </c>
      <c r="P12" s="142">
        <f>-Section8!P4/1000</f>
        <v>-15.633293608800003</v>
      </c>
      <c r="Q12" s="142">
        <f>-Section8!Q4/1000</f>
        <v>-15.633293608800003</v>
      </c>
      <c r="R12" s="142">
        <f>-Section8!R4/1000</f>
        <v>-15.633293608800003</v>
      </c>
      <c r="S12" s="142">
        <f>-Section8!S4/1000</f>
        <v>-7.8166468044000013</v>
      </c>
      <c r="T12" s="142">
        <f>-Section8!T4/1000</f>
        <v>0</v>
      </c>
      <c r="U12" s="142">
        <f>-Section8!U4/1000</f>
        <v>0</v>
      </c>
      <c r="V12" s="142">
        <f>-Section8!V4/1000</f>
        <v>0</v>
      </c>
      <c r="W12" s="142">
        <f>-Section8!W4/1000</f>
        <v>0</v>
      </c>
      <c r="X12" s="142">
        <f>-Section8!X4/1000</f>
        <v>0</v>
      </c>
      <c r="Y12" s="142">
        <f>-Section8!Y4/1000</f>
        <v>0</v>
      </c>
      <c r="Z12" s="142">
        <f>-Section8!Z4/1000</f>
        <v>0</v>
      </c>
      <c r="AA12" s="142">
        <f>-Section8!AA4/1000</f>
        <v>0</v>
      </c>
      <c r="AB12" s="142">
        <f>-Section8!AB4/1000</f>
        <v>0</v>
      </c>
      <c r="AC12" s="142">
        <f>-Section8!AC4/1000</f>
        <v>0</v>
      </c>
      <c r="AD12" s="142">
        <f>-Section8!AD4/1000</f>
        <v>0</v>
      </c>
      <c r="AE12" s="142">
        <f>-Section8!AE4/1000</f>
        <v>0</v>
      </c>
      <c r="AF12" s="142">
        <f>-Section8!AF4/1000</f>
        <v>0</v>
      </c>
      <c r="AG12" s="142">
        <f>-Section8!AG4/1000</f>
        <v>0</v>
      </c>
      <c r="AH12" s="142">
        <f>-Section8!AH4/1000</f>
        <v>0</v>
      </c>
      <c r="AI12" s="142">
        <f>-Section8!AI4/1000</f>
        <v>0</v>
      </c>
      <c r="AJ12" s="142">
        <f>-Section8!AJ4/1000</f>
        <v>0</v>
      </c>
      <c r="AK12" s="142">
        <f>-Section8!AK4/1000</f>
        <v>0</v>
      </c>
      <c r="AL12" s="142">
        <f>-Section8!AL4/1000</f>
        <v>0</v>
      </c>
      <c r="AM12" s="57"/>
    </row>
    <row r="13" spans="1:39" ht="16.149999999999999" customHeight="1" x14ac:dyDescent="0.2">
      <c r="A13" s="57"/>
      <c r="B13" s="135" t="s">
        <v>34</v>
      </c>
      <c r="C13" s="138"/>
      <c r="D13" s="139">
        <f>SUM(D9:D12)</f>
        <v>-38.045050456363597</v>
      </c>
      <c r="E13" s="139">
        <f t="shared" ref="E13:AL13" si="17">SUM(E9:E12)</f>
        <v>15.914785543636409</v>
      </c>
      <c r="F13" s="139">
        <f t="shared" si="17"/>
        <v>18.108850423636405</v>
      </c>
      <c r="G13" s="139">
        <f t="shared" si="17"/>
        <v>20.044338090196408</v>
      </c>
      <c r="H13" s="139">
        <f t="shared" si="17"/>
        <v>21.74624450870073</v>
      </c>
      <c r="I13" s="139">
        <f t="shared" si="17"/>
        <v>23.237047089364143</v>
      </c>
      <c r="J13" s="139">
        <f t="shared" si="17"/>
        <v>23.755291445218958</v>
      </c>
      <c r="K13" s="139">
        <f t="shared" si="17"/>
        <v>23.397313506447375</v>
      </c>
      <c r="L13" s="139">
        <f t="shared" si="17"/>
        <v>23.031460053022812</v>
      </c>
      <c r="M13" s="139">
        <f t="shared" si="17"/>
        <v>22.657557823622909</v>
      </c>
      <c r="N13" s="139">
        <f t="shared" si="17"/>
        <v>22.275429745176211</v>
      </c>
      <c r="O13" s="139">
        <f t="shared" si="17"/>
        <v>21.884894849003686</v>
      </c>
      <c r="P13" s="139">
        <f t="shared" si="17"/>
        <v>21.485768185115369</v>
      </c>
      <c r="Q13" s="139">
        <f t="shared" si="17"/>
        <v>21.07786073462151</v>
      </c>
      <c r="R13" s="139">
        <f t="shared" si="17"/>
        <v>20.660979320216782</v>
      </c>
      <c r="S13" s="139">
        <f t="shared" si="17"/>
        <v>28.051573319095148</v>
      </c>
      <c r="T13" s="139">
        <f t="shared" si="17"/>
        <v>35.432794156252044</v>
      </c>
      <c r="U13" s="139">
        <f t="shared" si="17"/>
        <v>34.987788817729587</v>
      </c>
      <c r="V13" s="139">
        <f t="shared" si="17"/>
        <v>34.532993361759637</v>
      </c>
      <c r="W13" s="139">
        <f t="shared" si="17"/>
        <v>34.068192405758346</v>
      </c>
      <c r="X13" s="139">
        <f t="shared" si="17"/>
        <v>33.593165828725027</v>
      </c>
      <c r="Y13" s="139">
        <f t="shared" si="17"/>
        <v>33.107688666996978</v>
      </c>
      <c r="Z13" s="139">
        <f t="shared" si="17"/>
        <v>32.611531007710909</v>
      </c>
      <c r="AA13" s="139">
        <f t="shared" si="17"/>
        <v>32.104457879920545</v>
      </c>
      <c r="AB13" s="139">
        <f t="shared" si="17"/>
        <v>31.5862291433188</v>
      </c>
      <c r="AC13" s="139">
        <f t="shared" si="17"/>
        <v>31.056599374511812</v>
      </c>
      <c r="AD13" s="139">
        <f t="shared" si="17"/>
        <v>30.515317750791073</v>
      </c>
      <c r="AE13" s="139">
        <f t="shared" si="17"/>
        <v>29.962127931348473</v>
      </c>
      <c r="AF13" s="139">
        <f t="shared" si="17"/>
        <v>29.396767935878138</v>
      </c>
      <c r="AG13" s="139">
        <f t="shared" si="17"/>
        <v>28.818970020507454</v>
      </c>
      <c r="AH13" s="139">
        <f t="shared" si="17"/>
        <v>28.228460550998616</v>
      </c>
      <c r="AI13" s="139">
        <f t="shared" si="17"/>
        <v>27.624959873160588</v>
      </c>
      <c r="AJ13" s="139">
        <f t="shared" si="17"/>
        <v>27.00818218041012</v>
      </c>
      <c r="AK13" s="139">
        <f t="shared" si="17"/>
        <v>26.377835378419142</v>
      </c>
      <c r="AL13" s="139">
        <f t="shared" si="17"/>
        <v>25.73362094678436</v>
      </c>
      <c r="AM13" s="57"/>
    </row>
    <row r="14" spans="1:39" ht="16.149999999999999" customHeight="1" x14ac:dyDescent="0.2">
      <c r="A14" s="57"/>
      <c r="B14" s="135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57"/>
    </row>
    <row r="15" spans="1:39" ht="16.149999999999999" customHeight="1" x14ac:dyDescent="0.2">
      <c r="A15" s="57"/>
      <c r="B15" s="143" t="s">
        <v>216</v>
      </c>
      <c r="C15" s="138"/>
      <c r="D15" s="139">
        <f>-(D13*Section5!$C$5+D7*Section5!$C$6)</f>
        <v>10.544185733981172</v>
      </c>
      <c r="E15" s="139">
        <f>-(E13*Section5!$C$5+E7*Section5!$C$6)</f>
        <v>-4.4107828134188312</v>
      </c>
      <c r="F15" s="139">
        <f>-(F13*Section5!$C$5+F7*Section5!$C$6)</f>
        <v>-5.0188678949108301</v>
      </c>
      <c r="G15" s="139">
        <f>-(G13*Section5!$C$5+G7*Section5!$C$6)</f>
        <v>-5.5552883016979351</v>
      </c>
      <c r="H15" s="139">
        <f>-(H13*Section5!$C$5+H7*Section5!$C$6)</f>
        <v>-6.0269716655864078</v>
      </c>
      <c r="I15" s="139">
        <f>-(I13*Section5!$C$5+I7*Section5!$C$6)</f>
        <v>-6.4401476008172729</v>
      </c>
      <c r="J15" s="139">
        <f>-(J13*Section5!$C$5+J7*Section5!$C$6)</f>
        <v>-6.5837790240424345</v>
      </c>
      <c r="K15" s="139">
        <f>-(K13*Section5!$C$5+K7*Section5!$C$6)</f>
        <v>-6.4845654383118898</v>
      </c>
      <c r="L15" s="139">
        <f>-(L13*Section5!$C$5+L7*Section5!$C$6)</f>
        <v>-6.3831691536952722</v>
      </c>
      <c r="M15" s="139">
        <f>-(M13*Section5!$C$5+M7*Section5!$C$6)</f>
        <v>-6.2795421508170897</v>
      </c>
      <c r="N15" s="139">
        <f>-(N13*Section5!$C$5+N7*Section5!$C$6)</f>
        <v>-6.1736353538755875</v>
      </c>
      <c r="O15" s="139">
        <f>-(O13*Section5!$C$5+O7*Section5!$C$6)</f>
        <v>-6.0653986074013719</v>
      </c>
      <c r="P15" s="139">
        <f>-(P13*Section5!$C$5+P7*Section5!$C$6)</f>
        <v>-5.9547806525047244</v>
      </c>
      <c r="Q15" s="139">
        <f>-(Q13*Section5!$C$5+Q7*Section5!$C$6)</f>
        <v>-5.8417291026003513</v>
      </c>
      <c r="R15" s="139">
        <f>-(R13*Section5!$C$5+R7*Section5!$C$6)</f>
        <v>-5.7261904185980814</v>
      </c>
      <c r="S15" s="139">
        <f>-(S13*Section5!$C$5+S7*Section5!$C$6)</f>
        <v>-7.7744935453872204</v>
      </c>
      <c r="T15" s="139">
        <f>-(T13*Section5!$C$5+T7*Section5!$C$6)</f>
        <v>-9.8201989004052539</v>
      </c>
      <c r="U15" s="139">
        <f>-(U13*Section5!$C$5+U7*Section5!$C$6)</f>
        <v>-9.6968656708337555</v>
      </c>
      <c r="V15" s="139">
        <f>-(V13*Section5!$C$5+V7*Section5!$C$6)</f>
        <v>-9.5708191102116835</v>
      </c>
      <c r="W15" s="139">
        <f>-(W13*Section5!$C$5+W7*Section5!$C$6)</f>
        <v>-9.441999525255925</v>
      </c>
      <c r="X15" s="139">
        <f>-(X13*Section5!$C$5+X7*Section5!$C$6)</f>
        <v>-9.3103459094311418</v>
      </c>
      <c r="Y15" s="139">
        <f>-(Y13*Section5!$C$5+Y7*Section5!$C$6)</f>
        <v>-9.175795914058213</v>
      </c>
      <c r="Z15" s="139">
        <f>-(Z13*Section5!$C$5+Z7*Section5!$C$6)</f>
        <v>-9.0382858187870792</v>
      </c>
      <c r="AA15" s="139">
        <f>-(AA13*Section5!$C$5+AA7*Section5!$C$6)</f>
        <v>-8.8977505014199796</v>
      </c>
      <c r="AB15" s="139">
        <f>-(AB13*Section5!$C$5+AB7*Section5!$C$6)</f>
        <v>-8.7541234070708054</v>
      </c>
      <c r="AC15" s="139">
        <f>-(AC13*Section5!$C$5+AC7*Section5!$C$6)</f>
        <v>-8.6073365166459492</v>
      </c>
      <c r="AD15" s="139">
        <f>-(AD13*Section5!$C$5+AD7*Section5!$C$6)</f>
        <v>-8.4573203146317457</v>
      </c>
      <c r="AE15" s="139">
        <f>-(AE13*Section5!$C$5+AE7*Section5!$C$6)</f>
        <v>-8.3040037561732287</v>
      </c>
      <c r="AF15" s="139">
        <f>-(AF13*Section5!$C$5+AF7*Section5!$C$6)</f>
        <v>-8.1473142334286255</v>
      </c>
      <c r="AG15" s="139">
        <f>-(AG13*Section5!$C$5+AG7*Section5!$C$6)</f>
        <v>-7.987177541183641</v>
      </c>
      <c r="AH15" s="139">
        <f>-(AH13*Section5!$C$5+AH7*Section5!$C$6)</f>
        <v>-7.8235178417092666</v>
      </c>
      <c r="AI15" s="139">
        <f>-(AI13*Section5!$C$5+AI7*Section5!$C$6)</f>
        <v>-7.6562576288464568</v>
      </c>
      <c r="AJ15" s="139">
        <f>-(AJ13*Section5!$C$5+AJ7*Section5!$C$6)</f>
        <v>-7.4853176913006649</v>
      </c>
      <c r="AK15" s="139">
        <f>-(AK13*Section5!$C$5+AK7*Section5!$C$6)</f>
        <v>-7.3106170751288655</v>
      </c>
      <c r="AL15" s="139">
        <f>-(AL13*Section5!$C$5+AL7*Section5!$C$6)</f>
        <v>-7.1320730454012855</v>
      </c>
      <c r="AM15" s="57"/>
    </row>
    <row r="16" spans="1:39" ht="16.149999999999999" customHeight="1" thickBot="1" x14ac:dyDescent="0.25">
      <c r="A16" s="57"/>
      <c r="B16" s="152" t="s">
        <v>140</v>
      </c>
      <c r="C16" s="141"/>
      <c r="D16" s="142">
        <f>IF(Section1!$C$22="Investment Tax Credit",Section7!$C$15/1000,0)</f>
        <v>0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57"/>
    </row>
    <row r="17" spans="1:39" ht="16.149999999999999" customHeight="1" x14ac:dyDescent="0.2">
      <c r="A17" s="57"/>
      <c r="B17" s="143" t="s">
        <v>217</v>
      </c>
      <c r="C17" s="138"/>
      <c r="D17" s="139">
        <f>SUM(D13:D16)</f>
        <v>-27.500864722382424</v>
      </c>
      <c r="E17" s="139">
        <f t="shared" ref="E17:AL17" si="18">SUM(E13:E16)</f>
        <v>11.504002730217579</v>
      </c>
      <c r="F17" s="139">
        <f t="shared" si="18"/>
        <v>13.089982528725574</v>
      </c>
      <c r="G17" s="139">
        <f t="shared" si="18"/>
        <v>14.489049788498473</v>
      </c>
      <c r="H17" s="139">
        <f t="shared" si="18"/>
        <v>15.719272843114322</v>
      </c>
      <c r="I17" s="139">
        <f t="shared" si="18"/>
        <v>16.79689948854687</v>
      </c>
      <c r="J17" s="139">
        <f t="shared" si="18"/>
        <v>17.171512421176523</v>
      </c>
      <c r="K17" s="139">
        <f t="shared" si="18"/>
        <v>16.912748068135485</v>
      </c>
      <c r="L17" s="139">
        <f t="shared" si="18"/>
        <v>16.648290899327542</v>
      </c>
      <c r="M17" s="139">
        <f t="shared" si="18"/>
        <v>16.378015672805819</v>
      </c>
      <c r="N17" s="139">
        <f t="shared" si="18"/>
        <v>16.101794391300622</v>
      </c>
      <c r="O17" s="139">
        <f t="shared" si="18"/>
        <v>15.819496241602314</v>
      </c>
      <c r="P17" s="139">
        <f t="shared" si="18"/>
        <v>15.530987532610645</v>
      </c>
      <c r="Q17" s="139">
        <f t="shared" si="18"/>
        <v>15.236131632021159</v>
      </c>
      <c r="R17" s="139">
        <f t="shared" si="18"/>
        <v>14.934788901618701</v>
      </c>
      <c r="S17" s="139">
        <f t="shared" si="18"/>
        <v>20.277079773707928</v>
      </c>
      <c r="T17" s="139">
        <f t="shared" si="18"/>
        <v>25.612595255846792</v>
      </c>
      <c r="U17" s="139">
        <f t="shared" si="18"/>
        <v>25.290923146895832</v>
      </c>
      <c r="V17" s="139">
        <f t="shared" si="18"/>
        <v>24.962174251547953</v>
      </c>
      <c r="W17" s="139">
        <f t="shared" si="18"/>
        <v>24.626192880502423</v>
      </c>
      <c r="X17" s="139">
        <f t="shared" si="18"/>
        <v>24.282819919293885</v>
      </c>
      <c r="Y17" s="139">
        <f t="shared" si="18"/>
        <v>23.931892752938765</v>
      </c>
      <c r="Z17" s="139">
        <f t="shared" si="18"/>
        <v>23.573245188923828</v>
      </c>
      <c r="AA17" s="139">
        <f t="shared" si="18"/>
        <v>23.206707378500568</v>
      </c>
      <c r="AB17" s="139">
        <f t="shared" si="18"/>
        <v>22.832105736247996</v>
      </c>
      <c r="AC17" s="139">
        <f t="shared" si="18"/>
        <v>22.449262857865861</v>
      </c>
      <c r="AD17" s="139">
        <f t="shared" si="18"/>
        <v>22.057997436159326</v>
      </c>
      <c r="AE17" s="139">
        <f t="shared" si="18"/>
        <v>21.658124175175246</v>
      </c>
      <c r="AF17" s="139">
        <f t="shared" si="18"/>
        <v>21.249453702449514</v>
      </c>
      <c r="AG17" s="139">
        <f t="shared" si="18"/>
        <v>20.831792479323813</v>
      </c>
      <c r="AH17" s="139">
        <f t="shared" si="18"/>
        <v>20.404942709289351</v>
      </c>
      <c r="AI17" s="139">
        <f t="shared" si="18"/>
        <v>19.96870224431413</v>
      </c>
      <c r="AJ17" s="139">
        <f t="shared" si="18"/>
        <v>19.522864489109455</v>
      </c>
      <c r="AK17" s="139">
        <f t="shared" si="18"/>
        <v>19.067218303290275</v>
      </c>
      <c r="AL17" s="139">
        <f t="shared" si="18"/>
        <v>18.601547901383075</v>
      </c>
      <c r="AM17" s="57"/>
    </row>
    <row r="18" spans="1:39" ht="16.149999999999999" customHeight="1" x14ac:dyDescent="0.2">
      <c r="A18" s="57"/>
      <c r="B18" s="143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57"/>
    </row>
    <row r="19" spans="1:39" s="145" customFormat="1" ht="16.149999999999999" customHeight="1" x14ac:dyDescent="0.2">
      <c r="A19" s="57"/>
      <c r="B19" s="143" t="s">
        <v>80</v>
      </c>
      <c r="C19" s="138"/>
      <c r="D19" s="139">
        <f>-Section6!D4/1000</f>
        <v>0</v>
      </c>
      <c r="E19" s="139">
        <f>-Section6!E4/1000</f>
        <v>0</v>
      </c>
      <c r="F19" s="139">
        <f>-Section6!F4/1000</f>
        <v>0</v>
      </c>
      <c r="G19" s="139">
        <f>-Section6!G4/1000</f>
        <v>0</v>
      </c>
      <c r="H19" s="139">
        <f>-Section6!H4/1000</f>
        <v>0</v>
      </c>
      <c r="I19" s="139">
        <f>-Section6!I4/1000</f>
        <v>0</v>
      </c>
      <c r="J19" s="139">
        <f>-Section6!J4/1000</f>
        <v>0</v>
      </c>
      <c r="K19" s="139">
        <f>-Section6!K4/1000</f>
        <v>0</v>
      </c>
      <c r="L19" s="139">
        <f>-Section6!L4/1000</f>
        <v>0</v>
      </c>
      <c r="M19" s="139">
        <f>-Section6!M4/1000</f>
        <v>0</v>
      </c>
      <c r="N19" s="139">
        <f>-Section6!N4/1000</f>
        <v>0</v>
      </c>
      <c r="O19" s="139">
        <f>-Section6!O4/1000</f>
        <v>0</v>
      </c>
      <c r="P19" s="139">
        <f>-Section6!P4/1000</f>
        <v>0</v>
      </c>
      <c r="Q19" s="139">
        <f>-Section6!Q4/1000</f>
        <v>0</v>
      </c>
      <c r="R19" s="139">
        <f>-Section6!R4/1000</f>
        <v>0</v>
      </c>
      <c r="S19" s="139">
        <f>-Section6!S4/1000</f>
        <v>0</v>
      </c>
      <c r="T19" s="139">
        <f>-Section6!T4/1000</f>
        <v>0</v>
      </c>
      <c r="U19" s="139">
        <f>-Section6!U4/1000</f>
        <v>0</v>
      </c>
      <c r="V19" s="139">
        <f>-Section6!V4/1000</f>
        <v>0</v>
      </c>
      <c r="W19" s="139">
        <f>-Section6!W4/1000</f>
        <v>0</v>
      </c>
      <c r="X19" s="139">
        <f>-Section6!X4/1000</f>
        <v>0</v>
      </c>
      <c r="Y19" s="139">
        <f>-Section6!Y4/1000</f>
        <v>0</v>
      </c>
      <c r="Z19" s="139">
        <f>-Section6!Z4/1000</f>
        <v>0</v>
      </c>
      <c r="AA19" s="139">
        <f>-Section6!AA4/1000</f>
        <v>0</v>
      </c>
      <c r="AB19" s="139">
        <f>-Section6!AB4/1000</f>
        <v>0</v>
      </c>
      <c r="AC19" s="139">
        <f>-Section6!AC4/1000</f>
        <v>0</v>
      </c>
      <c r="AD19" s="139">
        <f>-Section6!AD4/1000</f>
        <v>0</v>
      </c>
      <c r="AE19" s="139">
        <f>-Section6!AE4/1000</f>
        <v>0</v>
      </c>
      <c r="AF19" s="139">
        <f>-Section6!AF4/1000</f>
        <v>0</v>
      </c>
      <c r="AG19" s="139">
        <f>-Section6!AG4/1000</f>
        <v>0</v>
      </c>
      <c r="AH19" s="139">
        <f>-Section6!AH4/1000</f>
        <v>0</v>
      </c>
      <c r="AI19" s="139">
        <f>-Section6!AI4/1000</f>
        <v>0</v>
      </c>
      <c r="AJ19" s="139">
        <f>-Section6!AJ4/1000</f>
        <v>0</v>
      </c>
      <c r="AK19" s="139">
        <f>-Section6!AK4/1000</f>
        <v>0</v>
      </c>
      <c r="AL19" s="139">
        <f>-Section6!AL4/1000</f>
        <v>0</v>
      </c>
      <c r="AM19" s="57"/>
    </row>
    <row r="20" spans="1:39" ht="16.149999999999999" customHeight="1" x14ac:dyDescent="0.2">
      <c r="A20" s="57"/>
      <c r="B20" s="135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57"/>
    </row>
    <row r="21" spans="1:39" ht="16.149999999999999" customHeight="1" x14ac:dyDescent="0.2">
      <c r="A21" s="57"/>
      <c r="B21" s="135" t="s">
        <v>33</v>
      </c>
      <c r="C21" s="139">
        <f>IF(Section5!C16="No",-Section2!C22/1000,-Section5!C10/1000)</f>
        <v>-330.93900000000008</v>
      </c>
      <c r="D21" s="139">
        <f>D9+D11+D15+D16+D19</f>
        <v>51.924495277617588</v>
      </c>
      <c r="E21" s="139">
        <f t="shared" ref="E21:AL21" si="19">E9+E11+E15+E16+E19</f>
        <v>36.65536673021758</v>
      </c>
      <c r="F21" s="139">
        <f t="shared" si="19"/>
        <v>35.726210128725583</v>
      </c>
      <c r="G21" s="139">
        <f t="shared" si="19"/>
        <v>34.861654628498478</v>
      </c>
      <c r="H21" s="139">
        <f t="shared" si="19"/>
        <v>34.054617199114325</v>
      </c>
      <c r="I21" s="139">
        <f t="shared" si="19"/>
        <v>33.298709408946877</v>
      </c>
      <c r="J21" s="139">
        <f t="shared" si="19"/>
        <v>32.804806029976525</v>
      </c>
      <c r="K21" s="139">
        <f t="shared" si="19"/>
        <v>32.546041676935488</v>
      </c>
      <c r="L21" s="139">
        <f t="shared" si="19"/>
        <v>32.281584508127544</v>
      </c>
      <c r="M21" s="139">
        <f t="shared" si="19"/>
        <v>32.011309281605818</v>
      </c>
      <c r="N21" s="139">
        <f t="shared" si="19"/>
        <v>31.735088000100625</v>
      </c>
      <c r="O21" s="139">
        <f t="shared" si="19"/>
        <v>31.452789850402318</v>
      </c>
      <c r="P21" s="139">
        <f t="shared" si="19"/>
        <v>31.164281141410648</v>
      </c>
      <c r="Q21" s="139">
        <f t="shared" si="19"/>
        <v>30.869425240821162</v>
      </c>
      <c r="R21" s="139">
        <f t="shared" si="19"/>
        <v>30.568082510418705</v>
      </c>
      <c r="S21" s="139">
        <f t="shared" si="19"/>
        <v>28.09372657810793</v>
      </c>
      <c r="T21" s="139">
        <f t="shared" si="19"/>
        <v>25.612595255846792</v>
      </c>
      <c r="U21" s="139">
        <f t="shared" si="19"/>
        <v>25.290923146895832</v>
      </c>
      <c r="V21" s="139">
        <f t="shared" si="19"/>
        <v>24.962174251547953</v>
      </c>
      <c r="W21" s="139">
        <f t="shared" si="19"/>
        <v>24.626192880502423</v>
      </c>
      <c r="X21" s="139">
        <f t="shared" si="19"/>
        <v>24.282819919293885</v>
      </c>
      <c r="Y21" s="139">
        <f t="shared" si="19"/>
        <v>23.931892752938765</v>
      </c>
      <c r="Z21" s="139">
        <f t="shared" si="19"/>
        <v>23.573245188923828</v>
      </c>
      <c r="AA21" s="139">
        <f t="shared" si="19"/>
        <v>23.206707378500568</v>
      </c>
      <c r="AB21" s="139">
        <f t="shared" si="19"/>
        <v>22.832105736247996</v>
      </c>
      <c r="AC21" s="139">
        <f t="shared" si="19"/>
        <v>22.449262857865861</v>
      </c>
      <c r="AD21" s="139">
        <f t="shared" si="19"/>
        <v>22.057997436159326</v>
      </c>
      <c r="AE21" s="139">
        <f t="shared" si="19"/>
        <v>21.658124175175246</v>
      </c>
      <c r="AF21" s="139">
        <f t="shared" si="19"/>
        <v>21.249453702449514</v>
      </c>
      <c r="AG21" s="139">
        <f t="shared" si="19"/>
        <v>20.831792479323813</v>
      </c>
      <c r="AH21" s="139">
        <f t="shared" si="19"/>
        <v>20.404942709289351</v>
      </c>
      <c r="AI21" s="139">
        <f t="shared" si="19"/>
        <v>19.96870224431413</v>
      </c>
      <c r="AJ21" s="139">
        <f t="shared" si="19"/>
        <v>19.522864489109455</v>
      </c>
      <c r="AK21" s="139">
        <f t="shared" si="19"/>
        <v>19.067218303290275</v>
      </c>
      <c r="AL21" s="139">
        <f t="shared" si="19"/>
        <v>18.601547901383075</v>
      </c>
      <c r="AM21" s="57"/>
    </row>
    <row r="22" spans="1:39" ht="16.149999999999999" customHeight="1" thickBot="1" x14ac:dyDescent="0.3">
      <c r="A22" s="57"/>
      <c r="B22" s="140" t="s">
        <v>143</v>
      </c>
      <c r="C22" s="146"/>
      <c r="D22" s="147">
        <f>XNPV(Section10!$C$3,$C$21:D21,$C$4:D4)</f>
        <v>-281.1758037711686</v>
      </c>
      <c r="E22" s="147">
        <f>XNPV(Section10!$C$3,$C$21:E21,$C$4:E4)</f>
        <v>-248.90227791904994</v>
      </c>
      <c r="F22" s="147">
        <f>XNPV(Section10!$C$3,$C$21:F21,$C$4:F4)</f>
        <v>-220.01093296341327</v>
      </c>
      <c r="G22" s="147">
        <f>XNPV(Section10!$C$3,$C$21:G21,$C$4:G4)</f>
        <v>-194.11081931211669</v>
      </c>
      <c r="H22" s="147">
        <f>XNPV(Section10!$C$3,$C$21:H21,$C$4:H4)</f>
        <v>-170.86726502599791</v>
      </c>
      <c r="I22" s="147">
        <f>XNPV(Section10!$C$3,$C$21:I21,$C$4:I4)</f>
        <v>-149.98744264857672</v>
      </c>
      <c r="J22" s="147">
        <f>XNPV(Section10!$C$3,$C$21:J21,$C$4:J4)</f>
        <v>-131.09409836197443</v>
      </c>
      <c r="K22" s="147">
        <f>XNPV(Section10!$C$3,$C$21:K21,$C$4:K4)</f>
        <v>-113.87373135673582</v>
      </c>
      <c r="L22" s="147">
        <f>XNPV(Section10!$C$3,$C$21:L21,$C$4:L4)</f>
        <v>-98.181961404317704</v>
      </c>
      <c r="M22" s="147">
        <f>XNPV(Section10!$C$3,$C$21:M21,$C$4:M4)</f>
        <v>-83.886657619447107</v>
      </c>
      <c r="N22" s="147">
        <f>XNPV(Section10!$C$3,$C$21:N21,$C$4:N4)</f>
        <v>-70.869935776312602</v>
      </c>
      <c r="O22" s="147">
        <f>XNPV(Section10!$C$3,$C$21:O21,$C$4:O4)</f>
        <v>-59.01787272874693</v>
      </c>
      <c r="P22" s="147">
        <f>XNPV(Section10!$C$3,$C$21:P21,$C$4:P4)</f>
        <v>-48.229281067860441</v>
      </c>
      <c r="Q22" s="147">
        <f>XNPV(Section10!$C$3,$C$21:Q21,$C$4:Q4)</f>
        <v>-38.411597102911443</v>
      </c>
      <c r="R22" s="147">
        <f>XNPV(Section10!$C$3,$C$21:R21,$C$4:R4)</f>
        <v>-29.482230216120961</v>
      </c>
      <c r="S22" s="147">
        <f>XNPV(Section10!$C$3,$C$21:S21,$C$4:S4)</f>
        <v>-21.942866690578398</v>
      </c>
      <c r="T22" s="147">
        <f>XNPV(Section10!$C$3,$C$21:T21,$C$4:T4)</f>
        <v>-15.628180373600411</v>
      </c>
      <c r="U22" s="147">
        <f>XNPV(Section10!$C$3,$C$21:U21,$C$4:U4)</f>
        <v>-9.8997486735570952</v>
      </c>
      <c r="V22" s="147">
        <f>XNPV(Section10!$C$3,$C$21:V21,$C$4:V4)</f>
        <v>-4.7066636385297258</v>
      </c>
      <c r="W22" s="147">
        <f>XNPV(Section10!$C$3,$C$21:W21,$C$4:W4)</f>
        <v>-3.907985046680551E-14</v>
      </c>
      <c r="X22" s="147">
        <f>XNPV(Section10!$C$3,$C$21:X21,$C$4:X4)</f>
        <v>4.2637120545660032</v>
      </c>
      <c r="Y22" s="147">
        <f>XNPV(Section10!$C$3,$C$21:Y21,$C$4:Y4)</f>
        <v>8.1241685132724886</v>
      </c>
      <c r="Z22" s="147">
        <f>XNPV(Section10!$C$3,$C$21:Z21,$C$4:Z4)</f>
        <v>11.616801488286917</v>
      </c>
      <c r="AA22" s="147">
        <f>XNPV(Section10!$C$3,$C$21:AA21,$C$4:AA4)</f>
        <v>14.775585746575942</v>
      </c>
      <c r="AB22" s="147">
        <f>XNPV(Section10!$C$3,$C$21:AB21,$C$4:AB4)</f>
        <v>17.630711676547222</v>
      </c>
      <c r="AC22" s="147">
        <f>XNPV(Section10!$C$3,$C$21:AC21,$C$4:AC4)</f>
        <v>20.209728936857356</v>
      </c>
      <c r="AD22" s="147">
        <f>XNPV(Section10!$C$3,$C$21:AD21,$C$4:AD4)</f>
        <v>22.53723173386264</v>
      </c>
      <c r="AE22" s="147">
        <f>XNPV(Section10!$C$3,$C$21:AE21,$C$4:AE4)</f>
        <v>24.636741172218596</v>
      </c>
      <c r="AF22" s="147">
        <f>XNPV(Section10!$C$3,$C$21:AF21,$C$4:AF4)</f>
        <v>26.529161583628422</v>
      </c>
      <c r="AG22" s="147">
        <f>XNPV(Section10!$C$3,$C$21:AG21,$C$4:AG4)</f>
        <v>28.233553074034472</v>
      </c>
      <c r="AH22" s="147">
        <f>XNPV(Section10!$C$3,$C$21:AH21,$C$4:AH4)</f>
        <v>29.76693402032129</v>
      </c>
      <c r="AI22" s="147">
        <f>XNPV(Section10!$C$3,$C$21:AI21,$C$4:AI4)</f>
        <v>31.145531201717422</v>
      </c>
      <c r="AJ22" s="147">
        <f>XNPV(Section10!$C$3,$C$21:AJ21,$C$4:AJ4)</f>
        <v>32.383768686477111</v>
      </c>
      <c r="AK22" s="147">
        <f>XNPV(Section10!$C$3,$C$21:AK21,$C$4:AK4)</f>
        <v>33.494785441656653</v>
      </c>
      <c r="AL22" s="147">
        <f>XNPV(Section10!$C$3,$C$21:AL21,$C$4:AL4)</f>
        <v>34.490315370018379</v>
      </c>
      <c r="AM22" s="57"/>
    </row>
    <row r="23" spans="1:39" ht="16.149999999999999" customHeight="1" x14ac:dyDescent="0.25">
      <c r="A23" s="128" t="s">
        <v>223</v>
      </c>
      <c r="B23" s="128"/>
      <c r="C23" s="57"/>
      <c r="D23" s="131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31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</row>
    <row r="24" spans="1:39" ht="16.149999999999999" hidden="1" customHeight="1" x14ac:dyDescent="0.2"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49"/>
    </row>
  </sheetData>
  <sheetProtection password="D79C" sheet="1" objects="1" scenarios="1"/>
  <mergeCells count="1">
    <mergeCell ref="B3:B4"/>
  </mergeCells>
  <printOptions horizontalCentered="1"/>
  <pageMargins left="0" right="0" top="0.75" bottom="0.75" header="0.3" footer="0.3"/>
  <pageSetup scale="2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C8DC200-DFA5-49D5-8051-5076A3536CB9}">
            <xm:f>D$3=Section1!$C$28+1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14:cfRule type="expression" priority="3" id="{94DE71CE-270B-4B59-8002-5E73F593FFCA}">
            <xm:f>D$3&gt;Section1!$C$28+1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D3:AL22</xm:sqref>
        </x14:conditionalFormatting>
        <x14:conditionalFormatting xmlns:xm="http://schemas.microsoft.com/office/excel/2006/main">
          <x14:cfRule type="expression" priority="1" id="{FBC62A4B-6DE3-4BC4-A092-272C12511882}">
            <xm:f>D$3&gt;Section1!$C$28</xm:f>
            <x14:dxf>
              <font>
                <color rgb="FFE6E6E6"/>
              </font>
              <fill>
                <patternFill>
                  <bgColor rgb="FFE6E6E6"/>
                </patternFill>
              </fill>
              <border>
                <left/>
                <right/>
                <top/>
                <bottom/>
              </border>
            </x14:dxf>
          </x14:cfRule>
          <xm:sqref>E1:AM23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159"/>
  <sheetViews>
    <sheetView showGridLines="0" zoomScale="80" zoomScaleNormal="80" zoomScaleSheetLayoutView="80" workbookViewId="0"/>
  </sheetViews>
  <sheetFormatPr defaultColWidth="8.85546875" defaultRowHeight="16.149999999999999" customHeight="1" x14ac:dyDescent="0.2"/>
  <cols>
    <col min="1" max="1" width="8.85546875" style="22" collapsed="1"/>
    <col min="2" max="2" width="40.7109375" style="22" bestFit="1" customWidth="1" collapsed="1"/>
    <col min="3" max="3" width="19.140625" style="22" bestFit="1" customWidth="1" collapsed="1"/>
    <col min="4" max="4" width="23.28515625" style="22" bestFit="1" customWidth="1" collapsed="1"/>
    <col min="5" max="5" width="16.140625" style="22" bestFit="1" customWidth="1" collapsed="1"/>
    <col min="6" max="6" width="28.28515625" style="22" bestFit="1" customWidth="1"/>
    <col min="7" max="7" width="8.85546875" style="22"/>
    <col min="8" max="8" width="8.85546875" style="22" collapsed="1"/>
    <col min="9" max="32" width="8.85546875" style="22"/>
    <col min="33" max="16384" width="8.85546875" style="22" collapsed="1"/>
  </cols>
  <sheetData>
    <row r="1" spans="1:7" ht="16.149999999999999" customHeight="1" thickTop="1" thickBot="1" x14ac:dyDescent="0.25">
      <c r="A1" s="28"/>
      <c r="B1" s="29"/>
      <c r="C1" s="29"/>
      <c r="D1" s="29"/>
      <c r="E1" s="29"/>
      <c r="F1" s="29"/>
      <c r="G1" s="30"/>
    </row>
    <row r="2" spans="1:7" ht="16.149999999999999" customHeight="1" thickBot="1" x14ac:dyDescent="0.3">
      <c r="A2" s="31"/>
      <c r="B2" s="2" t="s">
        <v>40</v>
      </c>
      <c r="C2" s="26"/>
      <c r="D2" s="26"/>
      <c r="E2" s="26"/>
      <c r="F2" s="26"/>
      <c r="G2" s="32"/>
    </row>
    <row r="3" spans="1:7" ht="16.149999999999999" customHeight="1" x14ac:dyDescent="0.2">
      <c r="A3" s="31"/>
      <c r="B3" s="23" t="s">
        <v>41</v>
      </c>
      <c r="C3" s="26"/>
      <c r="D3" s="26"/>
      <c r="E3" s="26"/>
      <c r="F3" s="26"/>
      <c r="G3" s="32"/>
    </row>
    <row r="4" spans="1:7" ht="16.149999999999999" customHeight="1" x14ac:dyDescent="0.2">
      <c r="A4" s="31"/>
      <c r="B4" s="23" t="s">
        <v>42</v>
      </c>
      <c r="C4" s="26"/>
      <c r="D4" s="26"/>
      <c r="E4" s="26"/>
      <c r="F4" s="26"/>
      <c r="G4" s="32"/>
    </row>
    <row r="5" spans="1:7" ht="16.149999999999999" customHeight="1" thickBot="1" x14ac:dyDescent="0.25">
      <c r="A5" s="31"/>
      <c r="B5" s="24" t="s">
        <v>43</v>
      </c>
      <c r="C5" s="26"/>
      <c r="D5" s="26"/>
      <c r="E5" s="26"/>
      <c r="F5" s="26"/>
      <c r="G5" s="32"/>
    </row>
    <row r="6" spans="1:7" ht="16.149999999999999" customHeight="1" thickBot="1" x14ac:dyDescent="0.25">
      <c r="A6" s="31"/>
      <c r="B6" s="26"/>
      <c r="C6" s="26"/>
      <c r="D6" s="26"/>
      <c r="E6" s="26"/>
      <c r="F6" s="26"/>
      <c r="G6" s="32"/>
    </row>
    <row r="7" spans="1:7" ht="16.149999999999999" customHeight="1" thickBot="1" x14ac:dyDescent="0.3">
      <c r="A7" s="31"/>
      <c r="B7" s="1" t="s">
        <v>46</v>
      </c>
      <c r="C7" s="5" t="s">
        <v>233</v>
      </c>
      <c r="D7" s="5" t="s">
        <v>243</v>
      </c>
      <c r="E7" s="88" t="s">
        <v>134</v>
      </c>
      <c r="F7" s="159" t="s">
        <v>59</v>
      </c>
      <c r="G7" s="32"/>
    </row>
    <row r="8" spans="1:7" ht="16.149999999999999" customHeight="1" x14ac:dyDescent="0.2">
      <c r="A8" s="31"/>
      <c r="B8" s="6" t="s">
        <v>41</v>
      </c>
      <c r="C8" s="154"/>
      <c r="D8" s="25"/>
      <c r="E8" s="25"/>
      <c r="F8" s="160"/>
      <c r="G8" s="32"/>
    </row>
    <row r="9" spans="1:7" ht="16.149999999999999" customHeight="1" x14ac:dyDescent="0.2">
      <c r="A9" s="31"/>
      <c r="B9" s="7" t="s">
        <v>109</v>
      </c>
      <c r="C9" s="4" t="s">
        <v>234</v>
      </c>
      <c r="D9" s="26" t="s">
        <v>248</v>
      </c>
      <c r="E9" s="26">
        <v>5</v>
      </c>
      <c r="F9" s="160" t="s">
        <v>63</v>
      </c>
      <c r="G9" s="32"/>
    </row>
    <row r="10" spans="1:7" ht="16.149999999999999" customHeight="1" x14ac:dyDescent="0.2">
      <c r="A10" s="31"/>
      <c r="B10" s="7" t="s">
        <v>131</v>
      </c>
      <c r="C10" s="4" t="s">
        <v>235</v>
      </c>
      <c r="D10" s="26" t="s">
        <v>249</v>
      </c>
      <c r="E10" s="26">
        <v>7</v>
      </c>
      <c r="F10" s="160" t="s">
        <v>63</v>
      </c>
      <c r="G10" s="32"/>
    </row>
    <row r="11" spans="1:7" ht="16.149999999999999" customHeight="1" x14ac:dyDescent="0.2">
      <c r="A11" s="31"/>
      <c r="B11" s="7" t="s">
        <v>107</v>
      </c>
      <c r="C11" s="4" t="s">
        <v>235</v>
      </c>
      <c r="D11" s="26" t="s">
        <v>237</v>
      </c>
      <c r="E11" s="26">
        <v>20</v>
      </c>
      <c r="F11" s="160" t="s">
        <v>63</v>
      </c>
      <c r="G11" s="32"/>
    </row>
    <row r="12" spans="1:7" ht="16.149999999999999" customHeight="1" x14ac:dyDescent="0.2">
      <c r="A12" s="31"/>
      <c r="B12" s="7" t="s">
        <v>49</v>
      </c>
      <c r="C12" s="4" t="s">
        <v>235</v>
      </c>
      <c r="D12" s="26" t="s">
        <v>237</v>
      </c>
      <c r="E12" s="26">
        <v>20</v>
      </c>
      <c r="F12" s="160" t="s">
        <v>63</v>
      </c>
      <c r="G12" s="32"/>
    </row>
    <row r="13" spans="1:7" ht="16.149999999999999" customHeight="1" x14ac:dyDescent="0.2">
      <c r="A13" s="31"/>
      <c r="B13" s="7" t="s">
        <v>219</v>
      </c>
      <c r="C13" s="4" t="s">
        <v>235</v>
      </c>
      <c r="D13" s="26" t="s">
        <v>248</v>
      </c>
      <c r="E13" s="26">
        <v>15</v>
      </c>
      <c r="F13" s="160" t="s">
        <v>63</v>
      </c>
      <c r="G13" s="32"/>
    </row>
    <row r="14" spans="1:7" ht="16.149999999999999" customHeight="1" x14ac:dyDescent="0.2">
      <c r="A14" s="31"/>
      <c r="B14" s="7" t="s">
        <v>108</v>
      </c>
      <c r="C14" s="4" t="s">
        <v>235</v>
      </c>
      <c r="D14" s="26" t="s">
        <v>237</v>
      </c>
      <c r="E14" s="26">
        <v>15</v>
      </c>
      <c r="F14" s="160" t="s">
        <v>63</v>
      </c>
      <c r="G14" s="32"/>
    </row>
    <row r="15" spans="1:7" ht="16.149999999999999" customHeight="1" x14ac:dyDescent="0.2">
      <c r="A15" s="31"/>
      <c r="B15" s="7" t="s">
        <v>54</v>
      </c>
      <c r="C15" s="4" t="s">
        <v>235</v>
      </c>
      <c r="D15" s="26" t="s">
        <v>237</v>
      </c>
      <c r="E15" s="26">
        <v>15</v>
      </c>
      <c r="F15" s="160" t="s">
        <v>63</v>
      </c>
      <c r="G15" s="32"/>
    </row>
    <row r="16" spans="1:7" ht="16.149999999999999" customHeight="1" x14ac:dyDescent="0.2">
      <c r="A16" s="31"/>
      <c r="B16" s="7" t="s">
        <v>186</v>
      </c>
      <c r="C16" s="4" t="s">
        <v>235</v>
      </c>
      <c r="D16" s="26" t="s">
        <v>237</v>
      </c>
      <c r="E16" s="26">
        <v>39</v>
      </c>
      <c r="F16" s="160" t="s">
        <v>186</v>
      </c>
      <c r="G16" s="32"/>
    </row>
    <row r="17" spans="1:7" ht="16.149999999999999" customHeight="1" x14ac:dyDescent="0.2">
      <c r="A17" s="31"/>
      <c r="B17" s="7" t="s">
        <v>133</v>
      </c>
      <c r="C17" s="4" t="s">
        <v>235</v>
      </c>
      <c r="D17" s="26" t="s">
        <v>248</v>
      </c>
      <c r="E17" s="26">
        <v>5</v>
      </c>
      <c r="F17" s="160" t="s">
        <v>63</v>
      </c>
      <c r="G17" s="32"/>
    </row>
    <row r="18" spans="1:7" ht="16.149999999999999" customHeight="1" x14ac:dyDescent="0.2">
      <c r="A18" s="31"/>
      <c r="B18" s="7" t="s">
        <v>110</v>
      </c>
      <c r="C18" s="4" t="s">
        <v>235</v>
      </c>
      <c r="D18" s="26" t="s">
        <v>237</v>
      </c>
      <c r="E18" s="26">
        <v>15</v>
      </c>
      <c r="F18" s="160" t="s">
        <v>65</v>
      </c>
      <c r="G18" s="32"/>
    </row>
    <row r="19" spans="1:7" ht="16.149999999999999" customHeight="1" x14ac:dyDescent="0.2">
      <c r="A19" s="31"/>
      <c r="B19" s="7" t="s">
        <v>56</v>
      </c>
      <c r="C19" s="4" t="s">
        <v>234</v>
      </c>
      <c r="D19" s="26" t="s">
        <v>236</v>
      </c>
      <c r="E19" s="26">
        <v>20</v>
      </c>
      <c r="F19" s="160" t="s">
        <v>63</v>
      </c>
      <c r="G19" s="32"/>
    </row>
    <row r="20" spans="1:7" ht="16.149999999999999" customHeight="1" x14ac:dyDescent="0.2">
      <c r="A20" s="31"/>
      <c r="B20" s="7" t="s">
        <v>132</v>
      </c>
      <c r="C20" s="4" t="s">
        <v>235</v>
      </c>
      <c r="D20" s="26" t="s">
        <v>249</v>
      </c>
      <c r="E20" s="26">
        <v>5</v>
      </c>
      <c r="F20" s="160" t="s">
        <v>63</v>
      </c>
      <c r="G20" s="32"/>
    </row>
    <row r="21" spans="1:7" ht="16.149999999999999" customHeight="1" x14ac:dyDescent="0.2">
      <c r="A21" s="31"/>
      <c r="B21" s="7" t="s">
        <v>135</v>
      </c>
      <c r="C21" s="4" t="s">
        <v>235</v>
      </c>
      <c r="D21" s="26" t="s">
        <v>249</v>
      </c>
      <c r="E21" s="26">
        <v>7</v>
      </c>
      <c r="F21" s="160" t="s">
        <v>63</v>
      </c>
      <c r="G21" s="32"/>
    </row>
    <row r="22" spans="1:7" ht="16.149999999999999" customHeight="1" x14ac:dyDescent="0.2">
      <c r="A22" s="31"/>
      <c r="B22" s="7" t="s">
        <v>58</v>
      </c>
      <c r="C22" s="4" t="s">
        <v>235</v>
      </c>
      <c r="D22" s="26" t="s">
        <v>237</v>
      </c>
      <c r="E22" s="26">
        <v>15</v>
      </c>
      <c r="F22" s="160" t="s">
        <v>63</v>
      </c>
      <c r="G22" s="32"/>
    </row>
    <row r="23" spans="1:7" ht="16.149999999999999" customHeight="1" x14ac:dyDescent="0.2">
      <c r="A23" s="31"/>
      <c r="B23" s="7" t="s">
        <v>62</v>
      </c>
      <c r="C23" s="4" t="s">
        <v>234</v>
      </c>
      <c r="D23" s="26" t="s">
        <v>248</v>
      </c>
      <c r="E23" s="26">
        <v>5</v>
      </c>
      <c r="F23" s="160" t="s">
        <v>63</v>
      </c>
      <c r="G23" s="32"/>
    </row>
    <row r="24" spans="1:7" ht="16.149999999999999" customHeight="1" x14ac:dyDescent="0.2">
      <c r="A24" s="31"/>
      <c r="B24" s="7" t="s">
        <v>189</v>
      </c>
      <c r="C24" s="4" t="s">
        <v>234</v>
      </c>
      <c r="D24" s="26" t="s">
        <v>236</v>
      </c>
      <c r="E24" s="26">
        <v>5</v>
      </c>
      <c r="F24" s="160" t="s">
        <v>63</v>
      </c>
      <c r="G24" s="32"/>
    </row>
    <row r="25" spans="1:7" ht="16.149999999999999" customHeight="1" x14ac:dyDescent="0.2">
      <c r="A25" s="31"/>
      <c r="B25" s="7" t="s">
        <v>190</v>
      </c>
      <c r="C25" s="4" t="s">
        <v>234</v>
      </c>
      <c r="D25" s="26" t="s">
        <v>236</v>
      </c>
      <c r="E25" s="26">
        <v>5</v>
      </c>
      <c r="F25" s="160" t="s">
        <v>63</v>
      </c>
      <c r="G25" s="32"/>
    </row>
    <row r="26" spans="1:7" ht="16.149999999999999" customHeight="1" x14ac:dyDescent="0.2">
      <c r="A26" s="31"/>
      <c r="B26" s="7" t="s">
        <v>188</v>
      </c>
      <c r="C26" s="4" t="s">
        <v>234</v>
      </c>
      <c r="D26" s="26" t="s">
        <v>236</v>
      </c>
      <c r="E26" s="26">
        <v>5</v>
      </c>
      <c r="F26" s="160" t="s">
        <v>63</v>
      </c>
      <c r="G26" s="32"/>
    </row>
    <row r="27" spans="1:7" ht="16.149999999999999" customHeight="1" x14ac:dyDescent="0.2">
      <c r="A27" s="31"/>
      <c r="B27" s="7" t="s">
        <v>187</v>
      </c>
      <c r="C27" s="4" t="s">
        <v>234</v>
      </c>
      <c r="D27" s="26" t="s">
        <v>236</v>
      </c>
      <c r="E27" s="26">
        <v>5</v>
      </c>
      <c r="F27" s="160" t="s">
        <v>63</v>
      </c>
      <c r="G27" s="32"/>
    </row>
    <row r="28" spans="1:7" ht="16.149999999999999" customHeight="1" x14ac:dyDescent="0.2">
      <c r="A28" s="31"/>
      <c r="B28" s="7" t="s">
        <v>220</v>
      </c>
      <c r="C28" s="4" t="s">
        <v>235</v>
      </c>
      <c r="D28" s="26" t="s">
        <v>236</v>
      </c>
      <c r="E28" s="26">
        <v>5</v>
      </c>
      <c r="F28" s="160" t="s">
        <v>63</v>
      </c>
      <c r="G28" s="32"/>
    </row>
    <row r="29" spans="1:7" ht="16.149999999999999" customHeight="1" thickBot="1" x14ac:dyDescent="0.25">
      <c r="A29" s="31"/>
      <c r="B29" s="8" t="s">
        <v>221</v>
      </c>
      <c r="C29" s="155" t="s">
        <v>235</v>
      </c>
      <c r="D29" s="27" t="s">
        <v>237</v>
      </c>
      <c r="E29" s="27">
        <v>20</v>
      </c>
      <c r="F29" s="161" t="s">
        <v>63</v>
      </c>
      <c r="G29" s="32"/>
    </row>
    <row r="30" spans="1:7" ht="16.149999999999999" customHeight="1" thickBot="1" x14ac:dyDescent="0.25">
      <c r="A30" s="31"/>
      <c r="B30" s="4"/>
      <c r="C30" s="26"/>
      <c r="D30" s="26"/>
      <c r="E30" s="26"/>
      <c r="F30" s="26"/>
      <c r="G30" s="32"/>
    </row>
    <row r="31" spans="1:7" ht="16.149999999999999" customHeight="1" thickBot="1" x14ac:dyDescent="0.3">
      <c r="A31" s="31"/>
      <c r="B31" s="35" t="s">
        <v>63</v>
      </c>
      <c r="C31" s="26"/>
      <c r="D31" s="26"/>
      <c r="E31" s="26"/>
      <c r="F31" s="26"/>
      <c r="G31" s="32"/>
    </row>
    <row r="32" spans="1:7" ht="16.149999999999999" customHeight="1" x14ac:dyDescent="0.2">
      <c r="A32" s="31"/>
      <c r="B32" s="36" t="s">
        <v>41</v>
      </c>
      <c r="C32" s="26"/>
      <c r="D32" s="26"/>
      <c r="E32" s="26"/>
      <c r="F32" s="26"/>
      <c r="G32" s="32"/>
    </row>
    <row r="33" spans="1:7" ht="16.149999999999999" customHeight="1" x14ac:dyDescent="0.2">
      <c r="A33" s="31"/>
      <c r="B33" s="9" t="s">
        <v>109</v>
      </c>
      <c r="C33" s="26"/>
      <c r="D33" s="26"/>
      <c r="E33" s="26"/>
      <c r="F33" s="26"/>
      <c r="G33" s="32"/>
    </row>
    <row r="34" spans="1:7" ht="16.149999999999999" customHeight="1" x14ac:dyDescent="0.2">
      <c r="A34" s="31"/>
      <c r="B34" s="9" t="s">
        <v>131</v>
      </c>
      <c r="C34" s="26"/>
      <c r="D34" s="26"/>
      <c r="E34" s="26"/>
      <c r="F34" s="26"/>
      <c r="G34" s="32"/>
    </row>
    <row r="35" spans="1:7" ht="16.149999999999999" customHeight="1" x14ac:dyDescent="0.2">
      <c r="A35" s="31"/>
      <c r="B35" s="9" t="s">
        <v>107</v>
      </c>
      <c r="C35" s="26"/>
      <c r="D35" s="26"/>
      <c r="E35" s="26"/>
      <c r="F35" s="26"/>
      <c r="G35" s="32"/>
    </row>
    <row r="36" spans="1:7" ht="16.149999999999999" customHeight="1" x14ac:dyDescent="0.2">
      <c r="A36" s="31"/>
      <c r="B36" s="9" t="s">
        <v>49</v>
      </c>
      <c r="C36" s="26"/>
      <c r="D36" s="26"/>
      <c r="E36" s="26"/>
      <c r="F36" s="26"/>
      <c r="G36" s="32"/>
    </row>
    <row r="37" spans="1:7" ht="16.149999999999999" customHeight="1" x14ac:dyDescent="0.2">
      <c r="A37" s="31"/>
      <c r="B37" s="9" t="s">
        <v>219</v>
      </c>
      <c r="C37" s="26"/>
      <c r="D37" s="26"/>
      <c r="E37" s="26"/>
      <c r="F37" s="26"/>
      <c r="G37" s="32"/>
    </row>
    <row r="38" spans="1:7" ht="16.149999999999999" customHeight="1" x14ac:dyDescent="0.2">
      <c r="A38" s="31"/>
      <c r="B38" s="9" t="s">
        <v>108</v>
      </c>
      <c r="C38" s="26"/>
      <c r="D38" s="26"/>
      <c r="E38" s="26"/>
      <c r="F38" s="26"/>
      <c r="G38" s="32"/>
    </row>
    <row r="39" spans="1:7" ht="16.149999999999999" customHeight="1" x14ac:dyDescent="0.2">
      <c r="A39" s="31"/>
      <c r="B39" s="9" t="s">
        <v>54</v>
      </c>
      <c r="C39" s="26"/>
      <c r="D39" s="26"/>
      <c r="E39" s="26"/>
      <c r="F39" s="26"/>
      <c r="G39" s="32"/>
    </row>
    <row r="40" spans="1:7" ht="16.149999999999999" customHeight="1" x14ac:dyDescent="0.2">
      <c r="A40" s="31"/>
      <c r="B40" s="9" t="s">
        <v>133</v>
      </c>
      <c r="C40" s="26"/>
      <c r="D40" s="26"/>
      <c r="E40" s="26"/>
      <c r="F40" s="26"/>
      <c r="G40" s="32"/>
    </row>
    <row r="41" spans="1:7" ht="16.149999999999999" customHeight="1" x14ac:dyDescent="0.2">
      <c r="A41" s="31"/>
      <c r="B41" s="9" t="s">
        <v>56</v>
      </c>
      <c r="C41" s="26"/>
      <c r="D41" s="26"/>
      <c r="E41" s="26"/>
      <c r="F41" s="26"/>
      <c r="G41" s="32"/>
    </row>
    <row r="42" spans="1:7" ht="16.149999999999999" customHeight="1" x14ac:dyDescent="0.2">
      <c r="A42" s="31"/>
      <c r="B42" s="9" t="s">
        <v>132</v>
      </c>
      <c r="C42" s="26"/>
      <c r="D42" s="26"/>
      <c r="E42" s="26"/>
      <c r="F42" s="26"/>
      <c r="G42" s="32"/>
    </row>
    <row r="43" spans="1:7" ht="16.149999999999999" customHeight="1" x14ac:dyDescent="0.2">
      <c r="A43" s="31"/>
      <c r="B43" s="9" t="s">
        <v>135</v>
      </c>
      <c r="C43" s="26"/>
      <c r="D43" s="26"/>
      <c r="E43" s="26"/>
      <c r="F43" s="26"/>
      <c r="G43" s="32"/>
    </row>
    <row r="44" spans="1:7" ht="16.149999999999999" customHeight="1" x14ac:dyDescent="0.2">
      <c r="A44" s="31"/>
      <c r="B44" s="9" t="s">
        <v>58</v>
      </c>
      <c r="C44" s="26"/>
      <c r="D44" s="26"/>
      <c r="E44" s="26"/>
      <c r="F44" s="26"/>
      <c r="G44" s="32"/>
    </row>
    <row r="45" spans="1:7" ht="16.149999999999999" customHeight="1" x14ac:dyDescent="0.2">
      <c r="A45" s="31"/>
      <c r="B45" s="9" t="s">
        <v>62</v>
      </c>
      <c r="C45" s="26"/>
      <c r="D45" s="26"/>
      <c r="E45" s="26"/>
      <c r="F45" s="26"/>
      <c r="G45" s="32"/>
    </row>
    <row r="46" spans="1:7" ht="16.149999999999999" customHeight="1" x14ac:dyDescent="0.2">
      <c r="A46" s="31"/>
      <c r="B46" s="9" t="s">
        <v>189</v>
      </c>
      <c r="C46" s="26"/>
      <c r="D46" s="26"/>
      <c r="E46" s="26"/>
      <c r="F46" s="26"/>
      <c r="G46" s="32"/>
    </row>
    <row r="47" spans="1:7" ht="16.149999999999999" customHeight="1" x14ac:dyDescent="0.2">
      <c r="A47" s="31"/>
      <c r="B47" s="9" t="s">
        <v>190</v>
      </c>
      <c r="C47" s="26"/>
      <c r="D47" s="26"/>
      <c r="E47" s="26"/>
      <c r="F47" s="26"/>
      <c r="G47" s="32"/>
    </row>
    <row r="48" spans="1:7" ht="16.149999999999999" customHeight="1" x14ac:dyDescent="0.2">
      <c r="A48" s="31"/>
      <c r="B48" s="9" t="s">
        <v>187</v>
      </c>
      <c r="C48" s="26"/>
      <c r="D48" s="26"/>
      <c r="E48" s="26"/>
      <c r="F48" s="26"/>
      <c r="G48" s="32"/>
    </row>
    <row r="49" spans="1:7" ht="16.149999999999999" customHeight="1" x14ac:dyDescent="0.2">
      <c r="A49" s="31"/>
      <c r="B49" s="9" t="s">
        <v>188</v>
      </c>
      <c r="C49" s="26"/>
      <c r="D49" s="26"/>
      <c r="E49" s="26"/>
      <c r="F49" s="26"/>
      <c r="G49" s="32"/>
    </row>
    <row r="50" spans="1:7" ht="16.149999999999999" customHeight="1" x14ac:dyDescent="0.2">
      <c r="A50" s="31"/>
      <c r="B50" s="9" t="s">
        <v>220</v>
      </c>
      <c r="C50" s="26"/>
      <c r="D50" s="26"/>
      <c r="E50" s="26"/>
      <c r="F50" s="26"/>
      <c r="G50" s="32"/>
    </row>
    <row r="51" spans="1:7" ht="16.149999999999999" customHeight="1" thickBot="1" x14ac:dyDescent="0.25">
      <c r="A51" s="31"/>
      <c r="B51" s="10" t="s">
        <v>221</v>
      </c>
      <c r="C51" s="26"/>
      <c r="D51" s="26"/>
      <c r="E51" s="26"/>
      <c r="F51" s="26"/>
      <c r="G51" s="32"/>
    </row>
    <row r="52" spans="1:7" ht="16.149999999999999" customHeight="1" thickBot="1" x14ac:dyDescent="0.25">
      <c r="A52" s="31"/>
      <c r="B52" s="4"/>
      <c r="C52" s="26"/>
      <c r="D52" s="26"/>
      <c r="E52" s="26"/>
      <c r="F52" s="26"/>
      <c r="G52" s="32"/>
    </row>
    <row r="53" spans="1:7" ht="16.149999999999999" customHeight="1" thickBot="1" x14ac:dyDescent="0.3">
      <c r="A53" s="31"/>
      <c r="B53" s="35" t="s">
        <v>65</v>
      </c>
      <c r="C53" s="26"/>
      <c r="D53" s="26"/>
      <c r="E53" s="26"/>
      <c r="F53" s="26"/>
      <c r="G53" s="32"/>
    </row>
    <row r="54" spans="1:7" ht="16.149999999999999" customHeight="1" x14ac:dyDescent="0.2">
      <c r="A54" s="31"/>
      <c r="B54" s="36" t="s">
        <v>41</v>
      </c>
      <c r="C54" s="26"/>
      <c r="D54" s="26"/>
      <c r="E54" s="26"/>
      <c r="F54" s="26"/>
      <c r="G54" s="32"/>
    </row>
    <row r="55" spans="1:7" ht="16.149999999999999" customHeight="1" thickBot="1" x14ac:dyDescent="0.25">
      <c r="A55" s="31"/>
      <c r="B55" s="10" t="s">
        <v>110</v>
      </c>
      <c r="C55" s="26"/>
      <c r="D55" s="26"/>
      <c r="E55" s="26"/>
      <c r="F55" s="26"/>
      <c r="G55" s="32"/>
    </row>
    <row r="56" spans="1:7" ht="16.149999999999999" customHeight="1" thickBot="1" x14ac:dyDescent="0.25">
      <c r="A56" s="31"/>
      <c r="B56" s="4"/>
      <c r="C56" s="26"/>
      <c r="D56" s="26"/>
      <c r="E56" s="26"/>
      <c r="F56" s="26"/>
      <c r="G56" s="32"/>
    </row>
    <row r="57" spans="1:7" ht="16.149999999999999" customHeight="1" thickBot="1" x14ac:dyDescent="0.3">
      <c r="A57" s="31"/>
      <c r="B57" s="35" t="s">
        <v>186</v>
      </c>
      <c r="C57" s="26"/>
      <c r="D57" s="26"/>
      <c r="E57" s="26"/>
      <c r="F57" s="26"/>
      <c r="G57" s="32"/>
    </row>
    <row r="58" spans="1:7" ht="16.149999999999999" customHeight="1" x14ac:dyDescent="0.2">
      <c r="A58" s="31"/>
      <c r="B58" s="36" t="s">
        <v>41</v>
      </c>
      <c r="C58" s="26"/>
      <c r="D58" s="26"/>
      <c r="E58" s="26"/>
      <c r="F58" s="26"/>
      <c r="G58" s="32"/>
    </row>
    <row r="59" spans="1:7" ht="16.149999999999999" customHeight="1" thickBot="1" x14ac:dyDescent="0.25">
      <c r="A59" s="31"/>
      <c r="B59" s="10" t="s">
        <v>186</v>
      </c>
      <c r="C59" s="26"/>
      <c r="D59" s="26"/>
      <c r="E59" s="26"/>
      <c r="F59" s="26"/>
      <c r="G59" s="32"/>
    </row>
    <row r="60" spans="1:7" ht="16.149999999999999" customHeight="1" thickBot="1" x14ac:dyDescent="0.25">
      <c r="A60" s="31"/>
      <c r="B60" s="4"/>
      <c r="C60" s="26"/>
      <c r="D60" s="26"/>
      <c r="E60" s="26"/>
      <c r="F60" s="26"/>
      <c r="G60" s="32"/>
    </row>
    <row r="61" spans="1:7" ht="16.149999999999999" customHeight="1" thickBot="1" x14ac:dyDescent="0.3">
      <c r="A61" s="31"/>
      <c r="B61" s="2" t="s">
        <v>44</v>
      </c>
      <c r="C61" s="26"/>
      <c r="D61" s="26"/>
      <c r="E61" s="26"/>
      <c r="F61" s="26"/>
      <c r="G61" s="32"/>
    </row>
    <row r="62" spans="1:7" ht="16.149999999999999" customHeight="1" x14ac:dyDescent="0.2">
      <c r="A62" s="31"/>
      <c r="B62" s="9" t="s">
        <v>41</v>
      </c>
      <c r="C62" s="26"/>
      <c r="D62" s="26"/>
      <c r="E62" s="26"/>
      <c r="F62" s="26"/>
      <c r="G62" s="32"/>
    </row>
    <row r="63" spans="1:7" ht="16.149999999999999" customHeight="1" x14ac:dyDescent="0.2">
      <c r="A63" s="31"/>
      <c r="B63" s="9" t="s">
        <v>195</v>
      </c>
      <c r="C63" s="26"/>
      <c r="D63" s="26"/>
      <c r="E63" s="26"/>
      <c r="F63" s="26"/>
      <c r="G63" s="32"/>
    </row>
    <row r="64" spans="1:7" ht="16.149999999999999" customHeight="1" x14ac:dyDescent="0.2">
      <c r="A64" s="31"/>
      <c r="B64" s="9" t="s">
        <v>196</v>
      </c>
      <c r="C64" s="26"/>
      <c r="D64" s="26"/>
      <c r="E64" s="26"/>
      <c r="F64" s="26"/>
      <c r="G64" s="32"/>
    </row>
    <row r="65" spans="1:7" ht="16.149999999999999" customHeight="1" x14ac:dyDescent="0.2">
      <c r="A65" s="31"/>
      <c r="B65" s="9" t="s">
        <v>197</v>
      </c>
      <c r="C65" s="26"/>
      <c r="D65" s="26"/>
      <c r="E65" s="26"/>
      <c r="F65" s="26"/>
      <c r="G65" s="32"/>
    </row>
    <row r="66" spans="1:7" ht="16.149999999999999" customHeight="1" x14ac:dyDescent="0.2">
      <c r="A66" s="31"/>
      <c r="B66" s="9" t="s">
        <v>198</v>
      </c>
      <c r="C66" s="26"/>
      <c r="D66" s="26"/>
      <c r="E66" s="26"/>
      <c r="F66" s="26"/>
      <c r="G66" s="32"/>
    </row>
    <row r="67" spans="1:7" ht="16.149999999999999" customHeight="1" thickBot="1" x14ac:dyDescent="0.25">
      <c r="A67" s="31"/>
      <c r="B67" s="10" t="s">
        <v>52</v>
      </c>
      <c r="C67" s="26"/>
      <c r="D67" s="26"/>
      <c r="E67" s="26"/>
      <c r="F67" s="26"/>
      <c r="G67" s="32"/>
    </row>
    <row r="68" spans="1:7" ht="16.149999999999999" customHeight="1" thickBot="1" x14ac:dyDescent="0.25">
      <c r="A68" s="31"/>
      <c r="B68" s="4"/>
      <c r="C68" s="26"/>
      <c r="D68" s="26"/>
      <c r="E68" s="26"/>
      <c r="F68" s="26"/>
      <c r="G68" s="32"/>
    </row>
    <row r="69" spans="1:7" ht="16.149999999999999" customHeight="1" thickBot="1" x14ac:dyDescent="0.3">
      <c r="A69" s="31"/>
      <c r="B69" s="2" t="s">
        <v>59</v>
      </c>
      <c r="C69" s="26"/>
      <c r="D69" s="26"/>
      <c r="E69" s="26"/>
      <c r="F69" s="26"/>
      <c r="G69" s="32"/>
    </row>
    <row r="70" spans="1:7" ht="16.149999999999999" customHeight="1" x14ac:dyDescent="0.2">
      <c r="A70" s="31"/>
      <c r="B70" s="9" t="s">
        <v>41</v>
      </c>
      <c r="C70" s="26"/>
      <c r="D70" s="26"/>
      <c r="E70" s="26"/>
      <c r="F70" s="26"/>
      <c r="G70" s="32"/>
    </row>
    <row r="71" spans="1:7" ht="16.149999999999999" customHeight="1" x14ac:dyDescent="0.2">
      <c r="A71" s="31"/>
      <c r="B71" s="9" t="s">
        <v>63</v>
      </c>
      <c r="C71" s="26"/>
      <c r="D71" s="26"/>
      <c r="E71" s="26"/>
      <c r="F71" s="26"/>
      <c r="G71" s="32"/>
    </row>
    <row r="72" spans="1:7" ht="16.149999999999999" customHeight="1" x14ac:dyDescent="0.2">
      <c r="A72" s="31"/>
      <c r="B72" s="9" t="s">
        <v>65</v>
      </c>
      <c r="C72" s="26"/>
      <c r="D72" s="26"/>
      <c r="E72" s="26"/>
      <c r="F72" s="26"/>
      <c r="G72" s="32"/>
    </row>
    <row r="73" spans="1:7" ht="16.149999999999999" customHeight="1" thickBot="1" x14ac:dyDescent="0.25">
      <c r="A73" s="31"/>
      <c r="B73" s="10" t="s">
        <v>186</v>
      </c>
      <c r="C73" s="26"/>
      <c r="D73" s="26"/>
      <c r="E73" s="26"/>
      <c r="F73" s="26"/>
      <c r="G73" s="32"/>
    </row>
    <row r="74" spans="1:7" ht="16.149999999999999" customHeight="1" thickBot="1" x14ac:dyDescent="0.25">
      <c r="A74" s="31"/>
      <c r="B74" s="4"/>
      <c r="C74" s="26"/>
      <c r="D74" s="26"/>
      <c r="E74" s="26"/>
      <c r="F74" s="26"/>
      <c r="G74" s="32"/>
    </row>
    <row r="75" spans="1:7" ht="16.149999999999999" customHeight="1" thickBot="1" x14ac:dyDescent="0.3">
      <c r="A75" s="31"/>
      <c r="B75" s="2" t="s">
        <v>32</v>
      </c>
      <c r="C75" s="26"/>
      <c r="D75" s="26"/>
      <c r="E75" s="26"/>
      <c r="F75" s="26"/>
      <c r="G75" s="32"/>
    </row>
    <row r="76" spans="1:7" ht="16.149999999999999" customHeight="1" x14ac:dyDescent="0.2">
      <c r="A76" s="31"/>
      <c r="B76" s="9" t="s">
        <v>41</v>
      </c>
      <c r="C76" s="26"/>
      <c r="D76" s="26"/>
      <c r="E76" s="26"/>
      <c r="F76" s="26"/>
      <c r="G76" s="32"/>
    </row>
    <row r="77" spans="1:7" ht="16.149999999999999" customHeight="1" x14ac:dyDescent="0.2">
      <c r="A77" s="31"/>
      <c r="B77" s="9" t="s">
        <v>71</v>
      </c>
      <c r="C77" s="26"/>
      <c r="D77" s="26"/>
      <c r="E77" s="26"/>
      <c r="F77" s="26"/>
      <c r="G77" s="32"/>
    </row>
    <row r="78" spans="1:7" ht="16.149999999999999" customHeight="1" thickBot="1" x14ac:dyDescent="0.25">
      <c r="A78" s="31"/>
      <c r="B78" s="10" t="s">
        <v>73</v>
      </c>
      <c r="C78" s="26"/>
      <c r="D78" s="26"/>
      <c r="E78" s="26"/>
      <c r="F78" s="26"/>
      <c r="G78" s="32"/>
    </row>
    <row r="79" spans="1:7" ht="16.149999999999999" customHeight="1" thickBot="1" x14ac:dyDescent="0.25">
      <c r="A79" s="31"/>
      <c r="B79" s="4"/>
      <c r="C79" s="26"/>
      <c r="D79" s="26"/>
      <c r="E79" s="26"/>
      <c r="F79" s="26"/>
      <c r="G79" s="32"/>
    </row>
    <row r="80" spans="1:7" ht="16.149999999999999" customHeight="1" thickBot="1" x14ac:dyDescent="0.3">
      <c r="A80" s="31"/>
      <c r="B80" s="2" t="s">
        <v>45</v>
      </c>
      <c r="C80" s="26"/>
      <c r="D80" s="26"/>
      <c r="E80" s="26"/>
      <c r="F80" s="26"/>
      <c r="G80" s="32"/>
    </row>
    <row r="81" spans="1:7" ht="16.149999999999999" customHeight="1" x14ac:dyDescent="0.2">
      <c r="A81" s="31"/>
      <c r="B81" s="9" t="s">
        <v>41</v>
      </c>
      <c r="C81" s="26"/>
      <c r="D81" s="26"/>
      <c r="E81" s="26"/>
      <c r="F81" s="26"/>
      <c r="G81" s="32"/>
    </row>
    <row r="82" spans="1:7" ht="16.149999999999999" customHeight="1" x14ac:dyDescent="0.2">
      <c r="A82" s="31"/>
      <c r="B82" s="9" t="s">
        <v>47</v>
      </c>
      <c r="C82" s="26"/>
      <c r="D82" s="26"/>
      <c r="E82" s="26"/>
      <c r="F82" s="26"/>
      <c r="G82" s="32"/>
    </row>
    <row r="83" spans="1:7" ht="16.149999999999999" customHeight="1" x14ac:dyDescent="0.2">
      <c r="A83" s="31"/>
      <c r="B83" s="9" t="s">
        <v>48</v>
      </c>
      <c r="C83" s="26"/>
      <c r="D83" s="26"/>
      <c r="E83" s="26"/>
      <c r="F83" s="26"/>
      <c r="G83" s="32"/>
    </row>
    <row r="84" spans="1:7" ht="16.149999999999999" customHeight="1" x14ac:dyDescent="0.2">
      <c r="A84" s="31"/>
      <c r="B84" s="9" t="s">
        <v>50</v>
      </c>
      <c r="C84" s="26"/>
      <c r="D84" s="26"/>
      <c r="E84" s="26"/>
      <c r="F84" s="26"/>
      <c r="G84" s="32"/>
    </row>
    <row r="85" spans="1:7" ht="16.149999999999999" customHeight="1" x14ac:dyDescent="0.2">
      <c r="A85" s="31"/>
      <c r="B85" s="9" t="s">
        <v>51</v>
      </c>
      <c r="C85" s="26"/>
      <c r="D85" s="26"/>
      <c r="E85" s="26"/>
      <c r="F85" s="26"/>
      <c r="G85" s="32"/>
    </row>
    <row r="86" spans="1:7" ht="16.149999999999999" customHeight="1" x14ac:dyDescent="0.2">
      <c r="A86" s="31"/>
      <c r="B86" s="9" t="s">
        <v>53</v>
      </c>
      <c r="C86" s="26"/>
      <c r="D86" s="26"/>
      <c r="E86" s="26"/>
      <c r="F86" s="26"/>
      <c r="G86" s="32"/>
    </row>
    <row r="87" spans="1:7" ht="16.149999999999999" customHeight="1" x14ac:dyDescent="0.2">
      <c r="A87" s="31"/>
      <c r="B87" s="9" t="s">
        <v>55</v>
      </c>
      <c r="C87" s="26"/>
      <c r="D87" s="26"/>
      <c r="E87" s="26"/>
      <c r="F87" s="26"/>
      <c r="G87" s="32"/>
    </row>
    <row r="88" spans="1:7" ht="16.149999999999999" customHeight="1" x14ac:dyDescent="0.2">
      <c r="A88" s="31"/>
      <c r="B88" s="9" t="s">
        <v>57</v>
      </c>
      <c r="C88" s="26"/>
      <c r="D88" s="26"/>
      <c r="E88" s="26"/>
      <c r="F88" s="26"/>
      <c r="G88" s="32"/>
    </row>
    <row r="89" spans="1:7" ht="16.149999999999999" customHeight="1" x14ac:dyDescent="0.2">
      <c r="A89" s="31"/>
      <c r="B89" s="9" t="s">
        <v>60</v>
      </c>
      <c r="C89" s="26"/>
      <c r="D89" s="26"/>
      <c r="E89" s="26"/>
      <c r="F89" s="26"/>
      <c r="G89" s="32"/>
    </row>
    <row r="90" spans="1:7" ht="16.149999999999999" customHeight="1" x14ac:dyDescent="0.2">
      <c r="A90" s="31"/>
      <c r="B90" s="9" t="s">
        <v>61</v>
      </c>
      <c r="C90" s="26"/>
      <c r="D90" s="26"/>
      <c r="E90" s="26"/>
      <c r="F90" s="26"/>
      <c r="G90" s="32"/>
    </row>
    <row r="91" spans="1:7" ht="16.149999999999999" customHeight="1" x14ac:dyDescent="0.2">
      <c r="A91" s="31"/>
      <c r="B91" s="9" t="s">
        <v>64</v>
      </c>
      <c r="C91" s="26"/>
      <c r="D91" s="26"/>
      <c r="E91" s="26"/>
      <c r="F91" s="26"/>
      <c r="G91" s="32"/>
    </row>
    <row r="92" spans="1:7" ht="16.149999999999999" customHeight="1" x14ac:dyDescent="0.2">
      <c r="A92" s="31"/>
      <c r="B92" s="9" t="s">
        <v>66</v>
      </c>
      <c r="C92" s="26"/>
      <c r="D92" s="26"/>
      <c r="E92" s="26"/>
      <c r="F92" s="26"/>
      <c r="G92" s="32"/>
    </row>
    <row r="93" spans="1:7" ht="16.149999999999999" customHeight="1" x14ac:dyDescent="0.2">
      <c r="A93" s="31"/>
      <c r="B93" s="9" t="s">
        <v>67</v>
      </c>
      <c r="C93" s="26"/>
      <c r="D93" s="26"/>
      <c r="E93" s="26"/>
      <c r="F93" s="26"/>
      <c r="G93" s="32"/>
    </row>
    <row r="94" spans="1:7" ht="16.149999999999999" customHeight="1" x14ac:dyDescent="0.2">
      <c r="A94" s="31"/>
      <c r="B94" s="9" t="s">
        <v>68</v>
      </c>
      <c r="C94" s="26"/>
      <c r="D94" s="26"/>
      <c r="E94" s="26"/>
      <c r="F94" s="26"/>
      <c r="G94" s="32"/>
    </row>
    <row r="95" spans="1:7" ht="16.149999999999999" customHeight="1" x14ac:dyDescent="0.2">
      <c r="A95" s="31"/>
      <c r="B95" s="9" t="s">
        <v>69</v>
      </c>
      <c r="C95" s="26"/>
      <c r="D95" s="26"/>
      <c r="E95" s="26"/>
      <c r="F95" s="26"/>
      <c r="G95" s="32"/>
    </row>
    <row r="96" spans="1:7" ht="16.149999999999999" customHeight="1" x14ac:dyDescent="0.2">
      <c r="A96" s="31"/>
      <c r="B96" s="9" t="s">
        <v>70</v>
      </c>
      <c r="C96" s="26"/>
      <c r="D96" s="26"/>
      <c r="E96" s="26"/>
      <c r="F96" s="26"/>
      <c r="G96" s="32"/>
    </row>
    <row r="97" spans="1:7" ht="16.149999999999999" customHeight="1" x14ac:dyDescent="0.2">
      <c r="A97" s="31"/>
      <c r="B97" s="9" t="s">
        <v>72</v>
      </c>
      <c r="C97" s="26"/>
      <c r="D97" s="26"/>
      <c r="E97" s="26"/>
      <c r="F97" s="26"/>
      <c r="G97" s="32"/>
    </row>
    <row r="98" spans="1:7" ht="16.149999999999999" customHeight="1" x14ac:dyDescent="0.2">
      <c r="A98" s="31"/>
      <c r="B98" s="9" t="s">
        <v>74</v>
      </c>
      <c r="C98" s="26"/>
      <c r="D98" s="26"/>
      <c r="E98" s="26"/>
      <c r="F98" s="26"/>
      <c r="G98" s="32"/>
    </row>
    <row r="99" spans="1:7" ht="16.149999999999999" customHeight="1" x14ac:dyDescent="0.2">
      <c r="A99" s="31"/>
      <c r="B99" s="9" t="s">
        <v>75</v>
      </c>
      <c r="C99" s="26"/>
      <c r="D99" s="26"/>
      <c r="E99" s="26"/>
      <c r="F99" s="26"/>
      <c r="G99" s="32"/>
    </row>
    <row r="100" spans="1:7" ht="16.149999999999999" customHeight="1" x14ac:dyDescent="0.2">
      <c r="A100" s="31"/>
      <c r="B100" s="9" t="s">
        <v>76</v>
      </c>
      <c r="C100" s="26"/>
      <c r="D100" s="26"/>
      <c r="E100" s="26"/>
      <c r="F100" s="26"/>
      <c r="G100" s="32"/>
    </row>
    <row r="101" spans="1:7" ht="16.149999999999999" customHeight="1" x14ac:dyDescent="0.2">
      <c r="A101" s="31"/>
      <c r="B101" s="9" t="s">
        <v>77</v>
      </c>
      <c r="C101" s="26"/>
      <c r="D101" s="26"/>
      <c r="E101" s="26"/>
      <c r="F101" s="26"/>
      <c r="G101" s="32"/>
    </row>
    <row r="102" spans="1:7" ht="16.149999999999999" customHeight="1" thickBot="1" x14ac:dyDescent="0.25">
      <c r="A102" s="31"/>
      <c r="B102" s="10" t="s">
        <v>78</v>
      </c>
      <c r="C102" s="26"/>
      <c r="D102" s="26"/>
      <c r="E102" s="26"/>
      <c r="F102" s="26"/>
      <c r="G102" s="32"/>
    </row>
    <row r="103" spans="1:7" ht="16.149999999999999" customHeight="1" thickBot="1" x14ac:dyDescent="0.25">
      <c r="A103" s="31"/>
      <c r="B103" s="26"/>
      <c r="C103" s="26"/>
      <c r="D103" s="26"/>
      <c r="E103" s="26"/>
      <c r="F103" s="26"/>
      <c r="G103" s="32"/>
    </row>
    <row r="104" spans="1:7" ht="16.149999999999999" customHeight="1" thickBot="1" x14ac:dyDescent="0.3">
      <c r="A104" s="31"/>
      <c r="B104" s="2" t="s">
        <v>238</v>
      </c>
      <c r="C104" s="26"/>
      <c r="D104" s="26"/>
      <c r="E104" s="26"/>
      <c r="F104" s="26"/>
      <c r="G104" s="32"/>
    </row>
    <row r="105" spans="1:7" ht="16.149999999999999" customHeight="1" x14ac:dyDescent="0.2">
      <c r="A105" s="31"/>
      <c r="B105" s="9" t="s">
        <v>41</v>
      </c>
      <c r="C105" s="26"/>
      <c r="D105" s="26"/>
      <c r="E105" s="26"/>
      <c r="F105" s="26"/>
      <c r="G105" s="32"/>
    </row>
    <row r="106" spans="1:7" ht="16.149999999999999" customHeight="1" x14ac:dyDescent="0.2">
      <c r="A106" s="31"/>
      <c r="B106" s="9" t="s">
        <v>139</v>
      </c>
      <c r="C106" s="26"/>
      <c r="D106" s="26"/>
      <c r="E106" s="26"/>
      <c r="F106" s="26"/>
      <c r="G106" s="32"/>
    </row>
    <row r="107" spans="1:7" ht="16.149999999999999" customHeight="1" x14ac:dyDescent="0.2">
      <c r="A107" s="31"/>
      <c r="B107" s="9" t="s">
        <v>140</v>
      </c>
      <c r="C107" s="26"/>
      <c r="D107" s="26"/>
      <c r="E107" s="26"/>
      <c r="F107" s="26"/>
      <c r="G107" s="32"/>
    </row>
    <row r="108" spans="1:7" ht="16.149999999999999" customHeight="1" thickBot="1" x14ac:dyDescent="0.25">
      <c r="A108" s="31"/>
      <c r="B108" s="10" t="s">
        <v>141</v>
      </c>
      <c r="C108" s="26"/>
      <c r="D108" s="26"/>
      <c r="E108" s="26"/>
      <c r="F108" s="26"/>
      <c r="G108" s="32"/>
    </row>
    <row r="109" spans="1:7" ht="16.149999999999999" customHeight="1" thickBot="1" x14ac:dyDescent="0.25">
      <c r="A109" s="31"/>
      <c r="B109" s="26"/>
      <c r="C109" s="26"/>
      <c r="D109" s="26"/>
      <c r="E109" s="26"/>
      <c r="F109" s="26"/>
      <c r="G109" s="32"/>
    </row>
    <row r="110" spans="1:7" ht="16.149999999999999" customHeight="1" thickBot="1" x14ac:dyDescent="0.3">
      <c r="A110" s="31"/>
      <c r="B110" s="2" t="s">
        <v>246</v>
      </c>
      <c r="C110" s="26"/>
      <c r="D110" s="26"/>
      <c r="E110" s="26"/>
      <c r="F110" s="26"/>
      <c r="G110" s="32"/>
    </row>
    <row r="111" spans="1:7" ht="16.149999999999999" customHeight="1" x14ac:dyDescent="0.2">
      <c r="A111" s="31"/>
      <c r="B111" s="9" t="s">
        <v>41</v>
      </c>
      <c r="C111" s="26"/>
      <c r="D111" s="26"/>
      <c r="E111" s="26"/>
      <c r="F111" s="26"/>
      <c r="G111" s="32"/>
    </row>
    <row r="112" spans="1:7" ht="16.149999999999999" customHeight="1" x14ac:dyDescent="0.2">
      <c r="A112" s="31"/>
      <c r="B112" s="9" t="s">
        <v>140</v>
      </c>
      <c r="C112" s="26"/>
      <c r="D112" s="26"/>
      <c r="E112" s="26"/>
      <c r="F112" s="26"/>
      <c r="G112" s="32"/>
    </row>
    <row r="113" spans="1:7" ht="16.149999999999999" customHeight="1" thickBot="1" x14ac:dyDescent="0.25">
      <c r="A113" s="31"/>
      <c r="B113" s="10" t="s">
        <v>141</v>
      </c>
      <c r="C113" s="26"/>
      <c r="D113" s="26"/>
      <c r="E113" s="26"/>
      <c r="F113" s="26"/>
      <c r="G113" s="32"/>
    </row>
    <row r="114" spans="1:7" ht="16.149999999999999" customHeight="1" thickBot="1" x14ac:dyDescent="0.25">
      <c r="A114" s="31"/>
      <c r="B114" s="4"/>
      <c r="C114" s="26"/>
      <c r="D114" s="26"/>
      <c r="E114" s="26"/>
      <c r="F114" s="26"/>
      <c r="G114" s="32"/>
    </row>
    <row r="115" spans="1:7" ht="16.149999999999999" customHeight="1" thickBot="1" x14ac:dyDescent="0.3">
      <c r="A115" s="31"/>
      <c r="B115" s="2" t="s">
        <v>247</v>
      </c>
      <c r="C115" s="26"/>
      <c r="D115" s="26"/>
      <c r="E115" s="26"/>
      <c r="F115" s="26"/>
      <c r="G115" s="32"/>
    </row>
    <row r="116" spans="1:7" ht="16.149999999999999" customHeight="1" x14ac:dyDescent="0.2">
      <c r="A116" s="31"/>
      <c r="B116" s="9" t="s">
        <v>41</v>
      </c>
      <c r="C116" s="26"/>
      <c r="D116" s="26"/>
      <c r="E116" s="26"/>
      <c r="F116" s="26"/>
      <c r="G116" s="32"/>
    </row>
    <row r="117" spans="1:7" ht="16.149999999999999" customHeight="1" x14ac:dyDescent="0.2">
      <c r="A117" s="31"/>
      <c r="B117" s="9" t="s">
        <v>139</v>
      </c>
      <c r="C117" s="26"/>
      <c r="D117" s="26"/>
      <c r="E117" s="26"/>
      <c r="F117" s="26"/>
      <c r="G117" s="32"/>
    </row>
    <row r="118" spans="1:7" ht="16.149999999999999" customHeight="1" thickBot="1" x14ac:dyDescent="0.25">
      <c r="A118" s="31"/>
      <c r="B118" s="10" t="s">
        <v>141</v>
      </c>
      <c r="C118" s="26"/>
      <c r="D118" s="26"/>
      <c r="E118" s="26"/>
      <c r="F118" s="26"/>
      <c r="G118" s="32"/>
    </row>
    <row r="119" spans="1:7" ht="16.149999999999999" customHeight="1" thickBot="1" x14ac:dyDescent="0.25">
      <c r="A119" s="31"/>
      <c r="B119" s="26"/>
      <c r="C119" s="26"/>
      <c r="D119" s="26"/>
      <c r="E119" s="26"/>
      <c r="F119" s="26"/>
      <c r="G119" s="32"/>
    </row>
    <row r="120" spans="1:7" ht="16.149999999999999" customHeight="1" thickBot="1" x14ac:dyDescent="0.3">
      <c r="A120" s="31"/>
      <c r="B120" s="2" t="s">
        <v>241</v>
      </c>
      <c r="C120" s="26"/>
      <c r="D120" s="26"/>
      <c r="E120" s="26"/>
      <c r="F120" s="26"/>
      <c r="G120" s="32"/>
    </row>
    <row r="121" spans="1:7" ht="16.149999999999999" customHeight="1" x14ac:dyDescent="0.2">
      <c r="A121" s="31"/>
      <c r="B121" s="9" t="s">
        <v>41</v>
      </c>
      <c r="C121" s="26"/>
      <c r="D121" s="26"/>
      <c r="E121" s="26"/>
      <c r="F121" s="26"/>
      <c r="G121" s="32"/>
    </row>
    <row r="122" spans="1:7" ht="16.149999999999999" customHeight="1" x14ac:dyDescent="0.2">
      <c r="A122" s="31"/>
      <c r="B122" s="9" t="s">
        <v>42</v>
      </c>
      <c r="C122" s="26"/>
      <c r="D122" s="26"/>
      <c r="E122" s="26"/>
      <c r="F122" s="26"/>
      <c r="G122" s="32"/>
    </row>
    <row r="123" spans="1:7" ht="16.149999999999999" customHeight="1" thickBot="1" x14ac:dyDescent="0.25">
      <c r="A123" s="31"/>
      <c r="B123" s="10" t="s">
        <v>43</v>
      </c>
      <c r="C123" s="26"/>
      <c r="D123" s="26"/>
      <c r="E123" s="26"/>
      <c r="F123" s="26"/>
      <c r="G123" s="32"/>
    </row>
    <row r="124" spans="1:7" ht="16.149999999999999" customHeight="1" thickBot="1" x14ac:dyDescent="0.25">
      <c r="A124" s="31"/>
      <c r="B124" s="26"/>
      <c r="C124" s="26"/>
      <c r="D124" s="26"/>
      <c r="E124" s="26"/>
      <c r="F124" s="26"/>
      <c r="G124" s="32"/>
    </row>
    <row r="125" spans="1:7" ht="16.149999999999999" customHeight="1" thickBot="1" x14ac:dyDescent="0.3">
      <c r="A125" s="31"/>
      <c r="B125" s="2" t="s">
        <v>239</v>
      </c>
      <c r="C125" s="26"/>
      <c r="D125" s="26"/>
      <c r="E125" s="26"/>
      <c r="F125" s="26"/>
      <c r="G125" s="32"/>
    </row>
    <row r="126" spans="1:7" ht="16.149999999999999" customHeight="1" x14ac:dyDescent="0.2">
      <c r="A126" s="31"/>
      <c r="B126" s="9" t="s">
        <v>41</v>
      </c>
      <c r="C126" s="26"/>
      <c r="D126" s="26"/>
      <c r="E126" s="26"/>
      <c r="F126" s="26"/>
      <c r="G126" s="32"/>
    </row>
    <row r="127" spans="1:7" ht="16.149999999999999" customHeight="1" thickBot="1" x14ac:dyDescent="0.25">
      <c r="A127" s="31"/>
      <c r="B127" s="10" t="s">
        <v>141</v>
      </c>
      <c r="C127" s="26"/>
      <c r="D127" s="26"/>
      <c r="E127" s="26"/>
      <c r="F127" s="26"/>
      <c r="G127" s="32"/>
    </row>
    <row r="128" spans="1:7" ht="16.149999999999999" customHeight="1" thickBot="1" x14ac:dyDescent="0.25">
      <c r="A128" s="31"/>
      <c r="B128" s="26"/>
      <c r="C128" s="26"/>
      <c r="D128" s="26"/>
      <c r="E128" s="26"/>
      <c r="F128" s="26"/>
      <c r="G128" s="32"/>
    </row>
    <row r="129" spans="1:7" ht="16.149999999999999" customHeight="1" thickBot="1" x14ac:dyDescent="0.3">
      <c r="A129" s="31"/>
      <c r="B129" s="2" t="s">
        <v>242</v>
      </c>
      <c r="C129" s="26"/>
      <c r="D129" s="26"/>
      <c r="E129" s="26"/>
      <c r="F129" s="26"/>
      <c r="G129" s="32"/>
    </row>
    <row r="130" spans="1:7" ht="16.149999999999999" customHeight="1" x14ac:dyDescent="0.2">
      <c r="A130" s="31"/>
      <c r="B130" s="9" t="s">
        <v>41</v>
      </c>
      <c r="C130" s="26"/>
      <c r="D130" s="26"/>
      <c r="E130" s="26"/>
      <c r="F130" s="26"/>
      <c r="G130" s="32"/>
    </row>
    <row r="131" spans="1:7" ht="16.149999999999999" customHeight="1" thickBot="1" x14ac:dyDescent="0.25">
      <c r="A131" s="31"/>
      <c r="B131" s="10" t="s">
        <v>141</v>
      </c>
      <c r="C131" s="26"/>
      <c r="D131" s="26"/>
      <c r="E131" s="26"/>
      <c r="F131" s="26"/>
      <c r="G131" s="32"/>
    </row>
    <row r="132" spans="1:7" ht="16.149999999999999" customHeight="1" thickBot="1" x14ac:dyDescent="0.25">
      <c r="A132" s="31"/>
      <c r="B132" s="26"/>
      <c r="C132" s="26"/>
      <c r="D132" s="26"/>
      <c r="E132" s="26"/>
      <c r="F132" s="26"/>
      <c r="G132" s="32"/>
    </row>
    <row r="133" spans="1:7" ht="16.149999999999999" customHeight="1" thickBot="1" x14ac:dyDescent="0.3">
      <c r="A133" s="31"/>
      <c r="B133" s="2" t="s">
        <v>168</v>
      </c>
      <c r="C133" s="26"/>
      <c r="D133" s="26"/>
      <c r="E133" s="26"/>
      <c r="F133" s="26"/>
      <c r="G133" s="32"/>
    </row>
    <row r="134" spans="1:7" ht="16.149999999999999" customHeight="1" x14ac:dyDescent="0.2">
      <c r="A134" s="31"/>
      <c r="B134" s="9" t="s">
        <v>41</v>
      </c>
      <c r="C134" s="26"/>
      <c r="D134" s="26"/>
      <c r="E134" s="26"/>
      <c r="F134" s="26"/>
      <c r="G134" s="32"/>
    </row>
    <row r="135" spans="1:7" ht="16.149999999999999" customHeight="1" x14ac:dyDescent="0.2">
      <c r="A135" s="31"/>
      <c r="B135" s="9">
        <v>2016</v>
      </c>
      <c r="C135" s="26"/>
      <c r="D135" s="26"/>
      <c r="E135" s="26"/>
      <c r="F135" s="26"/>
      <c r="G135" s="32"/>
    </row>
    <row r="136" spans="1:7" ht="16.149999999999999" customHeight="1" x14ac:dyDescent="0.2">
      <c r="A136" s="31"/>
      <c r="B136" s="9">
        <v>2017</v>
      </c>
      <c r="C136" s="26"/>
      <c r="D136" s="26"/>
      <c r="E136" s="26"/>
      <c r="F136" s="26"/>
      <c r="G136" s="32"/>
    </row>
    <row r="137" spans="1:7" ht="16.149999999999999" customHeight="1" x14ac:dyDescent="0.2">
      <c r="A137" s="31"/>
      <c r="B137" s="9">
        <v>2018</v>
      </c>
      <c r="C137" s="26"/>
      <c r="D137" s="26"/>
      <c r="E137" s="26"/>
      <c r="F137" s="26"/>
      <c r="G137" s="32"/>
    </row>
    <row r="138" spans="1:7" ht="16.149999999999999" customHeight="1" x14ac:dyDescent="0.2">
      <c r="A138" s="31"/>
      <c r="B138" s="9">
        <v>2019</v>
      </c>
      <c r="C138" s="26"/>
      <c r="D138" s="26"/>
      <c r="E138" s="26"/>
      <c r="F138" s="26"/>
      <c r="G138" s="32"/>
    </row>
    <row r="139" spans="1:7" ht="16.149999999999999" customHeight="1" x14ac:dyDescent="0.2">
      <c r="A139" s="31"/>
      <c r="B139" s="9">
        <v>2020</v>
      </c>
      <c r="C139" s="26"/>
      <c r="D139" s="26"/>
      <c r="E139" s="26"/>
      <c r="F139" s="26"/>
      <c r="G139" s="32"/>
    </row>
    <row r="140" spans="1:7" ht="16.149999999999999" customHeight="1" x14ac:dyDescent="0.2">
      <c r="A140" s="31"/>
      <c r="B140" s="9">
        <v>2021</v>
      </c>
      <c r="C140" s="26"/>
      <c r="D140" s="26"/>
      <c r="E140" s="26"/>
      <c r="F140" s="26"/>
      <c r="G140" s="32"/>
    </row>
    <row r="141" spans="1:7" ht="16.149999999999999" customHeight="1" x14ac:dyDescent="0.2">
      <c r="A141" s="31"/>
      <c r="B141" s="9">
        <v>2022</v>
      </c>
      <c r="C141" s="26"/>
      <c r="D141" s="26"/>
      <c r="E141" s="26"/>
      <c r="F141" s="26"/>
      <c r="G141" s="32"/>
    </row>
    <row r="142" spans="1:7" ht="16.149999999999999" customHeight="1" x14ac:dyDescent="0.2">
      <c r="A142" s="31"/>
      <c r="B142" s="9">
        <v>2023</v>
      </c>
      <c r="C142" s="26"/>
      <c r="D142" s="26"/>
      <c r="E142" s="26"/>
      <c r="F142" s="26"/>
      <c r="G142" s="32"/>
    </row>
    <row r="143" spans="1:7" ht="16.149999999999999" customHeight="1" x14ac:dyDescent="0.2">
      <c r="A143" s="31"/>
      <c r="B143" s="9">
        <v>2024</v>
      </c>
      <c r="C143" s="26"/>
      <c r="D143" s="26"/>
      <c r="E143" s="26"/>
      <c r="F143" s="26"/>
      <c r="G143" s="32"/>
    </row>
    <row r="144" spans="1:7" ht="16.149999999999999" customHeight="1" x14ac:dyDescent="0.2">
      <c r="A144" s="31"/>
      <c r="B144" s="9">
        <v>2025</v>
      </c>
      <c r="C144" s="26"/>
      <c r="D144" s="26"/>
      <c r="E144" s="26"/>
      <c r="F144" s="26"/>
      <c r="G144" s="32"/>
    </row>
    <row r="145" spans="1:7" ht="16.149999999999999" customHeight="1" x14ac:dyDescent="0.2">
      <c r="A145" s="31"/>
      <c r="B145" s="9">
        <v>2026</v>
      </c>
      <c r="C145" s="26"/>
      <c r="D145" s="26"/>
      <c r="E145" s="26"/>
      <c r="F145" s="26"/>
      <c r="G145" s="32"/>
    </row>
    <row r="146" spans="1:7" ht="16.149999999999999" customHeight="1" x14ac:dyDescent="0.2">
      <c r="A146" s="31"/>
      <c r="B146" s="9">
        <v>2027</v>
      </c>
      <c r="C146" s="26"/>
      <c r="D146" s="26"/>
      <c r="E146" s="26"/>
      <c r="F146" s="26"/>
      <c r="G146" s="32"/>
    </row>
    <row r="147" spans="1:7" ht="16.149999999999999" customHeight="1" x14ac:dyDescent="0.2">
      <c r="A147" s="31"/>
      <c r="B147" s="9">
        <v>2028</v>
      </c>
      <c r="C147" s="26"/>
      <c r="D147" s="26"/>
      <c r="E147" s="26"/>
      <c r="F147" s="26"/>
      <c r="G147" s="32"/>
    </row>
    <row r="148" spans="1:7" ht="16.149999999999999" customHeight="1" x14ac:dyDescent="0.2">
      <c r="A148" s="31"/>
      <c r="B148" s="9">
        <v>2029</v>
      </c>
      <c r="C148" s="26"/>
      <c r="D148" s="26"/>
      <c r="E148" s="26"/>
      <c r="F148" s="26"/>
      <c r="G148" s="32"/>
    </row>
    <row r="149" spans="1:7" ht="16.149999999999999" customHeight="1" thickBot="1" x14ac:dyDescent="0.25">
      <c r="A149" s="31"/>
      <c r="B149" s="10">
        <v>2030</v>
      </c>
      <c r="C149" s="26"/>
      <c r="D149" s="26"/>
      <c r="E149" s="26"/>
      <c r="F149" s="26"/>
      <c r="G149" s="32"/>
    </row>
    <row r="150" spans="1:7" ht="16.149999999999999" customHeight="1" thickBot="1" x14ac:dyDescent="0.25">
      <c r="A150" s="31"/>
      <c r="B150" s="26"/>
      <c r="C150" s="26"/>
      <c r="D150" s="26"/>
      <c r="E150" s="26"/>
      <c r="F150" s="26"/>
      <c r="G150" s="32"/>
    </row>
    <row r="151" spans="1:7" ht="16.149999999999999" customHeight="1" thickBot="1" x14ac:dyDescent="0.3">
      <c r="A151" s="31"/>
      <c r="B151" s="2" t="s">
        <v>169</v>
      </c>
      <c r="C151" s="26"/>
      <c r="D151" s="26"/>
      <c r="E151" s="26"/>
      <c r="F151" s="26"/>
      <c r="G151" s="32"/>
    </row>
    <row r="152" spans="1:7" ht="16.149999999999999" customHeight="1" x14ac:dyDescent="0.2">
      <c r="A152" s="31"/>
      <c r="B152" s="9" t="s">
        <v>41</v>
      </c>
      <c r="C152" s="26"/>
      <c r="D152" s="26"/>
      <c r="E152" s="26"/>
      <c r="F152" s="26"/>
      <c r="G152" s="32"/>
    </row>
    <row r="153" spans="1:7" ht="16.149999999999999" customHeight="1" thickBot="1" x14ac:dyDescent="0.25">
      <c r="A153" s="31"/>
      <c r="B153" s="10" t="s">
        <v>141</v>
      </c>
      <c r="C153" s="26"/>
      <c r="D153" s="26"/>
      <c r="E153" s="26"/>
      <c r="F153" s="26"/>
      <c r="G153" s="32"/>
    </row>
    <row r="154" spans="1:7" ht="16.149999999999999" customHeight="1" thickBot="1" x14ac:dyDescent="0.25">
      <c r="A154" s="31"/>
      <c r="B154" s="4"/>
      <c r="C154" s="26"/>
      <c r="D154" s="26"/>
      <c r="E154" s="26"/>
      <c r="F154" s="26"/>
      <c r="G154" s="32"/>
    </row>
    <row r="155" spans="1:7" ht="16.149999999999999" customHeight="1" thickBot="1" x14ac:dyDescent="0.3">
      <c r="A155" s="31"/>
      <c r="B155" s="2" t="s">
        <v>194</v>
      </c>
      <c r="C155" s="26"/>
      <c r="D155" s="26"/>
      <c r="E155" s="26"/>
      <c r="F155" s="26"/>
      <c r="G155" s="32"/>
    </row>
    <row r="156" spans="1:7" ht="16.149999999999999" customHeight="1" x14ac:dyDescent="0.2">
      <c r="A156" s="31"/>
      <c r="B156" s="9" t="s">
        <v>41</v>
      </c>
      <c r="C156" s="26"/>
      <c r="D156" s="26"/>
      <c r="E156" s="26"/>
      <c r="F156" s="26"/>
      <c r="G156" s="32"/>
    </row>
    <row r="157" spans="1:7" ht="16.149999999999999" customHeight="1" thickBot="1" x14ac:dyDescent="0.25">
      <c r="A157" s="31"/>
      <c r="B157" s="10" t="s">
        <v>42</v>
      </c>
      <c r="C157" s="26"/>
      <c r="D157" s="26"/>
      <c r="E157" s="26"/>
      <c r="F157" s="26"/>
      <c r="G157" s="32"/>
    </row>
    <row r="158" spans="1:7" ht="16.149999999999999" customHeight="1" thickBot="1" x14ac:dyDescent="0.3">
      <c r="A158" s="15" t="s">
        <v>223</v>
      </c>
      <c r="B158" s="33"/>
      <c r="C158" s="33"/>
      <c r="D158" s="33"/>
      <c r="E158" s="33"/>
      <c r="F158" s="33"/>
      <c r="G158" s="34"/>
    </row>
    <row r="159" spans="1:7" ht="16.149999999999999" customHeight="1" thickTop="1" x14ac:dyDescent="0.2"/>
  </sheetData>
  <sortState ref="B9:D26">
    <sortCondition ref="B9:B26"/>
  </sortState>
  <pageMargins left="0.7" right="0.7" top="0.75" bottom="0.75" header="0.3" footer="0.3"/>
  <pageSetup scale="31" orientation="landscape" r:id="rId1"/>
  <headerFooter>
    <oddHeader>&amp;C&amp;F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8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80.7109375" style="47" customWidth="1"/>
    <col min="3" max="3" width="30.7109375" style="47" customWidth="1"/>
    <col min="4" max="4" width="10.7109375" style="47" customWidth="1"/>
    <col min="5" max="16384" width="8.85546875" style="47" hidden="1"/>
  </cols>
  <sheetData>
    <row r="1" spans="1:4" ht="16.149999999999999" customHeight="1" thickBot="1" x14ac:dyDescent="0.25">
      <c r="A1" s="57" t="s">
        <v>226</v>
      </c>
      <c r="B1" s="57"/>
      <c r="C1" s="57"/>
      <c r="D1" s="57"/>
    </row>
    <row r="2" spans="1:4" ht="16.149999999999999" customHeight="1" thickBot="1" x14ac:dyDescent="0.3">
      <c r="A2" s="57"/>
      <c r="B2" s="48" t="s">
        <v>192</v>
      </c>
      <c r="C2" s="49"/>
      <c r="D2" s="57"/>
    </row>
    <row r="3" spans="1:4" ht="16.149999999999999" customHeight="1" x14ac:dyDescent="0.2">
      <c r="A3" s="57"/>
      <c r="B3" s="51" t="s">
        <v>1</v>
      </c>
      <c r="C3" s="44">
        <v>330939.00000000006</v>
      </c>
      <c r="D3" s="57"/>
    </row>
    <row r="4" spans="1:4" ht="16.149999999999999" customHeight="1" x14ac:dyDescent="0.2">
      <c r="A4" s="57"/>
      <c r="B4" s="51" t="s">
        <v>25</v>
      </c>
      <c r="C4" s="44">
        <v>0</v>
      </c>
      <c r="D4" s="57"/>
    </row>
    <row r="5" spans="1:4" ht="16.149999999999999" customHeight="1" x14ac:dyDescent="0.2">
      <c r="A5" s="57"/>
      <c r="B5" s="51" t="s">
        <v>2</v>
      </c>
      <c r="C5" s="44">
        <v>0</v>
      </c>
      <c r="D5" s="57"/>
    </row>
    <row r="6" spans="1:4" ht="16.149999999999999" customHeight="1" x14ac:dyDescent="0.2">
      <c r="A6" s="57"/>
      <c r="B6" s="51" t="s">
        <v>28</v>
      </c>
      <c r="C6" s="44">
        <v>0</v>
      </c>
      <c r="D6" s="57"/>
    </row>
    <row r="7" spans="1:4" ht="16.149999999999999" customHeight="1" x14ac:dyDescent="0.2">
      <c r="A7" s="57"/>
      <c r="B7" s="51" t="s">
        <v>3</v>
      </c>
      <c r="C7" s="44">
        <v>0</v>
      </c>
      <c r="D7" s="57"/>
    </row>
    <row r="8" spans="1:4" ht="16.149999999999999" customHeight="1" x14ac:dyDescent="0.2">
      <c r="A8" s="57"/>
      <c r="B8" s="51" t="s">
        <v>37</v>
      </c>
      <c r="C8" s="44">
        <v>0</v>
      </c>
      <c r="D8" s="57"/>
    </row>
    <row r="9" spans="1:4" ht="16.149999999999999" customHeight="1" x14ac:dyDescent="0.2">
      <c r="A9" s="57"/>
      <c r="B9" s="51" t="s">
        <v>5</v>
      </c>
      <c r="C9" s="44">
        <v>0</v>
      </c>
      <c r="D9" s="57"/>
    </row>
    <row r="10" spans="1:4" ht="16.149999999999999" customHeight="1" x14ac:dyDescent="0.2">
      <c r="A10" s="57"/>
      <c r="B10" s="51" t="s">
        <v>26</v>
      </c>
      <c r="C10" s="44">
        <v>0</v>
      </c>
      <c r="D10" s="57"/>
    </row>
    <row r="11" spans="1:4" ht="16.149999999999999" customHeight="1" x14ac:dyDescent="0.2">
      <c r="A11" s="57"/>
      <c r="B11" s="51" t="s">
        <v>23</v>
      </c>
      <c r="C11" s="44">
        <v>0</v>
      </c>
      <c r="D11" s="57"/>
    </row>
    <row r="12" spans="1:4" ht="16.149999999999999" customHeight="1" x14ac:dyDescent="0.2">
      <c r="A12" s="57"/>
      <c r="B12" s="51" t="s">
        <v>24</v>
      </c>
      <c r="C12" s="44">
        <v>0</v>
      </c>
      <c r="D12" s="57"/>
    </row>
    <row r="13" spans="1:4" ht="16.149999999999999" customHeight="1" x14ac:dyDescent="0.2">
      <c r="A13" s="57"/>
      <c r="B13" s="51" t="s">
        <v>6</v>
      </c>
      <c r="C13" s="44">
        <v>0</v>
      </c>
      <c r="D13" s="57"/>
    </row>
    <row r="14" spans="1:4" ht="16.149999999999999" customHeight="1" x14ac:dyDescent="0.2">
      <c r="A14" s="57"/>
      <c r="B14" s="51" t="s">
        <v>7</v>
      </c>
      <c r="C14" s="44">
        <v>0</v>
      </c>
      <c r="D14" s="57"/>
    </row>
    <row r="15" spans="1:4" ht="16.149999999999999" customHeight="1" x14ac:dyDescent="0.2">
      <c r="A15" s="57"/>
      <c r="B15" s="51" t="s">
        <v>10</v>
      </c>
      <c r="C15" s="44">
        <v>0</v>
      </c>
      <c r="D15" s="57"/>
    </row>
    <row r="16" spans="1:4" ht="16.149999999999999" customHeight="1" x14ac:dyDescent="0.2">
      <c r="A16" s="57"/>
      <c r="B16" s="51" t="s">
        <v>116</v>
      </c>
      <c r="C16" s="44">
        <v>0</v>
      </c>
      <c r="D16" s="57"/>
    </row>
    <row r="17" spans="1:4" ht="16.149999999999999" customHeight="1" x14ac:dyDescent="0.2">
      <c r="A17" s="57"/>
      <c r="B17" s="51" t="s">
        <v>8</v>
      </c>
      <c r="C17" s="44">
        <v>0</v>
      </c>
      <c r="D17" s="57"/>
    </row>
    <row r="18" spans="1:4" ht="16.149999999999999" customHeight="1" x14ac:dyDescent="0.2">
      <c r="A18" s="57"/>
      <c r="B18" s="51" t="s">
        <v>9</v>
      </c>
      <c r="C18" s="44">
        <v>0</v>
      </c>
      <c r="D18" s="57"/>
    </row>
    <row r="19" spans="1:4" ht="16.149999999999999" customHeight="1" x14ac:dyDescent="0.2">
      <c r="A19" s="57"/>
      <c r="B19" s="51" t="s">
        <v>4</v>
      </c>
      <c r="C19" s="44">
        <v>0</v>
      </c>
      <c r="D19" s="57"/>
    </row>
    <row r="20" spans="1:4" ht="16.149999999999999" customHeight="1" x14ac:dyDescent="0.2">
      <c r="A20" s="57"/>
      <c r="B20" s="51" t="s">
        <v>27</v>
      </c>
      <c r="C20" s="44">
        <v>0</v>
      </c>
      <c r="D20" s="57"/>
    </row>
    <row r="21" spans="1:4" ht="16.149999999999999" customHeight="1" thickBot="1" x14ac:dyDescent="0.25">
      <c r="A21" s="57"/>
      <c r="B21" s="51" t="s">
        <v>52</v>
      </c>
      <c r="C21" s="44">
        <v>0</v>
      </c>
      <c r="D21" s="57"/>
    </row>
    <row r="22" spans="1:4" ht="16.149999999999999" customHeight="1" thickBot="1" x14ac:dyDescent="0.25">
      <c r="A22" s="57"/>
      <c r="B22" s="53" t="s">
        <v>119</v>
      </c>
      <c r="C22" s="54">
        <f>SUM(C3:C21)</f>
        <v>330939.00000000006</v>
      </c>
      <c r="D22" s="57"/>
    </row>
    <row r="23" spans="1:4" ht="16.149999999999999" customHeight="1" thickBot="1" x14ac:dyDescent="0.25">
      <c r="A23" s="57"/>
      <c r="B23" s="53" t="s">
        <v>38</v>
      </c>
      <c r="C23" s="55">
        <f>IF(VLOOKUP(Section1!$C$12,DropDown!$B$9:$C$29,2,FALSE)="Non ELCC",C22/Section1!$C$13,C22/Section1!$C$15)</f>
        <v>927.00000000000011</v>
      </c>
      <c r="D23" s="57"/>
    </row>
    <row r="24" spans="1:4" ht="16.149999999999999" customHeight="1" x14ac:dyDescent="0.25">
      <c r="A24" s="128" t="s">
        <v>223</v>
      </c>
      <c r="B24" s="57"/>
      <c r="C24" s="57"/>
      <c r="D24" s="57"/>
    </row>
    <row r="25" spans="1:4" ht="16.149999999999999" hidden="1" customHeight="1" x14ac:dyDescent="0.2">
      <c r="C25" s="56"/>
    </row>
    <row r="26" spans="1:4" ht="16.149999999999999" hidden="1" customHeight="1" x14ac:dyDescent="0.2"/>
    <row r="27" spans="1:4" ht="16.149999999999999" hidden="1" customHeight="1" x14ac:dyDescent="0.2"/>
    <row r="28" spans="1:4" ht="16.149999999999999" hidden="1" customHeight="1" x14ac:dyDescent="0.2">
      <c r="C28" s="56"/>
    </row>
  </sheetData>
  <sheetProtection password="D79C" sheet="1" objects="1" scenarios="1"/>
  <dataValidations count="1">
    <dataValidation type="custom" allowBlank="1" showInputMessage="1" showErrorMessage="1" error="Capital Cost must be a positive number or zero with a maximum of five decimal places." sqref="C3:C21">
      <formula1>AND(C3=INT(C3*100000)/100000,C3&gt;=0,INT(C3)&lt;=9999999999999)</formula1>
    </dataValidation>
  </dataValidations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27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80.7109375" style="47" customWidth="1"/>
    <col min="3" max="3" width="30.7109375" style="47" customWidth="1"/>
    <col min="4" max="4" width="10.7109375" style="47" customWidth="1"/>
    <col min="5" max="16384" width="8.85546875" style="47" hidden="1"/>
  </cols>
  <sheetData>
    <row r="1" spans="1:4" ht="16.149999999999999" customHeight="1" thickBot="1" x14ac:dyDescent="0.25">
      <c r="A1" s="57" t="s">
        <v>226</v>
      </c>
      <c r="B1" s="57"/>
      <c r="C1" s="57"/>
      <c r="D1" s="57"/>
    </row>
    <row r="2" spans="1:4" ht="16.149999999999999" customHeight="1" thickBot="1" x14ac:dyDescent="0.3">
      <c r="A2" s="57"/>
      <c r="B2" s="48" t="s">
        <v>178</v>
      </c>
      <c r="C2" s="49"/>
      <c r="D2" s="57"/>
    </row>
    <row r="3" spans="1:4" ht="16.149999999999999" customHeight="1" x14ac:dyDescent="0.2">
      <c r="A3" s="57"/>
      <c r="B3" s="51" t="s">
        <v>11</v>
      </c>
      <c r="C3" s="44">
        <v>14279.999999999998</v>
      </c>
      <c r="D3" s="57"/>
    </row>
    <row r="4" spans="1:4" ht="16.149999999999999" customHeight="1" x14ac:dyDescent="0.2">
      <c r="A4" s="57"/>
      <c r="B4" s="51" t="s">
        <v>12</v>
      </c>
      <c r="C4" s="44">
        <v>0</v>
      </c>
      <c r="D4" s="57"/>
    </row>
    <row r="5" spans="1:4" ht="16.149999999999999" customHeight="1" x14ac:dyDescent="0.2">
      <c r="A5" s="57"/>
      <c r="B5" s="51" t="s">
        <v>20</v>
      </c>
      <c r="C5" s="44">
        <v>0</v>
      </c>
      <c r="D5" s="57"/>
    </row>
    <row r="6" spans="1:4" ht="16.149999999999999" customHeight="1" x14ac:dyDescent="0.2">
      <c r="A6" s="57"/>
      <c r="B6" s="51" t="s">
        <v>19</v>
      </c>
      <c r="C6" s="44">
        <v>0</v>
      </c>
      <c r="D6" s="57"/>
    </row>
    <row r="7" spans="1:4" ht="16.149999999999999" customHeight="1" x14ac:dyDescent="0.2">
      <c r="A7" s="57"/>
      <c r="B7" s="51" t="s">
        <v>21</v>
      </c>
      <c r="C7" s="44">
        <v>0</v>
      </c>
      <c r="D7" s="57"/>
    </row>
    <row r="8" spans="1:4" ht="16.149999999999999" customHeight="1" x14ac:dyDescent="0.2">
      <c r="A8" s="57"/>
      <c r="B8" s="51" t="s">
        <v>18</v>
      </c>
      <c r="C8" s="44">
        <v>0</v>
      </c>
      <c r="D8" s="57"/>
    </row>
    <row r="9" spans="1:4" ht="16.149999999999999" customHeight="1" x14ac:dyDescent="0.2">
      <c r="A9" s="57"/>
      <c r="B9" s="51" t="s">
        <v>13</v>
      </c>
      <c r="C9" s="44">
        <v>0</v>
      </c>
      <c r="D9" s="57"/>
    </row>
    <row r="10" spans="1:4" ht="16.149999999999999" customHeight="1" x14ac:dyDescent="0.2">
      <c r="A10" s="57"/>
      <c r="B10" s="51" t="s">
        <v>17</v>
      </c>
      <c r="C10" s="44">
        <v>0</v>
      </c>
      <c r="D10" s="57"/>
    </row>
    <row r="11" spans="1:4" ht="16.149999999999999" customHeight="1" x14ac:dyDescent="0.2">
      <c r="A11" s="57"/>
      <c r="B11" s="51" t="s">
        <v>14</v>
      </c>
      <c r="C11" s="44">
        <v>0</v>
      </c>
      <c r="D11" s="57"/>
    </row>
    <row r="12" spans="1:4" ht="16.149999999999999" customHeight="1" x14ac:dyDescent="0.2">
      <c r="A12" s="57"/>
      <c r="B12" s="51" t="s">
        <v>15</v>
      </c>
      <c r="C12" s="44">
        <v>0</v>
      </c>
      <c r="D12" s="57"/>
    </row>
    <row r="13" spans="1:4" ht="16.149999999999999" customHeight="1" x14ac:dyDescent="0.2">
      <c r="A13" s="57"/>
      <c r="B13" s="51" t="s">
        <v>22</v>
      </c>
      <c r="C13" s="44">
        <v>0</v>
      </c>
      <c r="D13" s="57"/>
    </row>
    <row r="14" spans="1:4" ht="16.149999999999999" customHeight="1" x14ac:dyDescent="0.2">
      <c r="A14" s="57"/>
      <c r="B14" s="51" t="s">
        <v>16</v>
      </c>
      <c r="C14" s="44">
        <v>0</v>
      </c>
      <c r="D14" s="57"/>
    </row>
    <row r="15" spans="1:4" ht="16.149999999999999" customHeight="1" thickBot="1" x14ac:dyDescent="0.25">
      <c r="A15" s="57"/>
      <c r="B15" s="51" t="s">
        <v>52</v>
      </c>
      <c r="C15" s="44">
        <v>0</v>
      </c>
      <c r="D15" s="57"/>
    </row>
    <row r="16" spans="1:4" ht="16.149999999999999" customHeight="1" thickBot="1" x14ac:dyDescent="0.25">
      <c r="A16" s="57"/>
      <c r="B16" s="53" t="s">
        <v>120</v>
      </c>
      <c r="C16" s="54">
        <f>SUM(C3:C15)</f>
        <v>14279.999999999998</v>
      </c>
      <c r="D16" s="57"/>
    </row>
    <row r="17" spans="1:4" ht="16.149999999999999" customHeight="1" thickBot="1" x14ac:dyDescent="0.25">
      <c r="A17" s="57"/>
      <c r="B17" s="57"/>
      <c r="C17" s="58"/>
      <c r="D17" s="57"/>
    </row>
    <row r="18" spans="1:4" ht="16.149999999999999" customHeight="1" thickBot="1" x14ac:dyDescent="0.3">
      <c r="A18" s="57"/>
      <c r="B18" s="48" t="s">
        <v>167</v>
      </c>
      <c r="C18" s="49"/>
      <c r="D18" s="57"/>
    </row>
    <row r="19" spans="1:4" ht="16.149999999999999" customHeight="1" thickBot="1" x14ac:dyDescent="0.25">
      <c r="A19" s="57"/>
      <c r="B19" s="59" t="s">
        <v>182</v>
      </c>
      <c r="C19" s="45" t="s">
        <v>43</v>
      </c>
      <c r="D19" s="57"/>
    </row>
    <row r="20" spans="1:4" ht="16.149999999999999" customHeight="1" thickBot="1" x14ac:dyDescent="0.25">
      <c r="A20" s="57"/>
      <c r="B20" s="60"/>
      <c r="C20" s="61"/>
      <c r="D20" s="57"/>
    </row>
    <row r="21" spans="1:4" ht="16.149999999999999" customHeight="1" thickBot="1" x14ac:dyDescent="0.3">
      <c r="A21" s="57"/>
      <c r="B21" s="48" t="s">
        <v>179</v>
      </c>
      <c r="C21" s="49"/>
      <c r="D21" s="57"/>
    </row>
    <row r="22" spans="1:4" ht="16.149999999999999" customHeight="1" x14ac:dyDescent="0.2">
      <c r="A22" s="57"/>
      <c r="B22" s="51" t="s">
        <v>154</v>
      </c>
      <c r="C22" s="95">
        <v>2.1999999999999999E-2</v>
      </c>
      <c r="D22" s="57"/>
    </row>
    <row r="23" spans="1:4" ht="16.149999999999999" customHeight="1" x14ac:dyDescent="0.2">
      <c r="A23" s="57"/>
      <c r="B23" s="51" t="s">
        <v>155</v>
      </c>
      <c r="C23" s="95">
        <v>2.1999999999999999E-2</v>
      </c>
      <c r="D23" s="57"/>
    </row>
    <row r="24" spans="1:4" ht="16.149999999999999" customHeight="1" x14ac:dyDescent="0.2">
      <c r="A24" s="57"/>
      <c r="B24" s="51" t="s">
        <v>156</v>
      </c>
      <c r="C24" s="95">
        <v>2.1999999999999999E-2</v>
      </c>
      <c r="D24" s="57"/>
    </row>
    <row r="25" spans="1:4" ht="16.149999999999999" customHeight="1" thickBot="1" x14ac:dyDescent="0.25">
      <c r="A25" s="57"/>
      <c r="B25" s="62" t="s">
        <v>180</v>
      </c>
      <c r="C25" s="96">
        <v>2.1999999999999999E-2</v>
      </c>
      <c r="D25" s="57"/>
    </row>
    <row r="26" spans="1:4" ht="16.149999999999999" customHeight="1" x14ac:dyDescent="0.25">
      <c r="A26" s="128" t="s">
        <v>223</v>
      </c>
      <c r="B26" s="57"/>
      <c r="C26" s="57"/>
      <c r="D26" s="57"/>
    </row>
    <row r="27" spans="1:4" ht="16.149999999999999" hidden="1" customHeight="1" x14ac:dyDescent="0.2"/>
  </sheetData>
  <sheetProtection password="D79C" sheet="1" objects="1" scenarios="1"/>
  <dataValidations count="2">
    <dataValidation type="custom" allowBlank="1" showInputMessage="1" showErrorMessage="1" error="Operations and Maintence Expense must be a positive number or zero with a maximum of five decimal places." sqref="C3:C15">
      <formula1>AND(C3=INT(C3*100000)/100000,C3&gt;=0,INT(C3)&lt;=9999999999999)</formula1>
    </dataValidation>
    <dataValidation type="custom" allowBlank="1" showInputMessage="1" showErrorMessage="1" error="Escalation must be a number with a maximum of 10 decimal places." sqref="C22:C25">
      <formula1>AND(C22=INT(C22*1000000000000)/1000000000000)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DropDown!$B$3:$B$5</xm:f>
          </x14:formula1>
          <xm:sqref>C19:C20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34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52.42578125" style="47" bestFit="1" customWidth="1"/>
    <col min="3" max="37" width="15.7109375" style="47" customWidth="1"/>
    <col min="38" max="38" width="10.7109375" style="47" customWidth="1"/>
    <col min="39" max="16384" width="8.85546875" style="47" hidden="1"/>
  </cols>
  <sheetData>
    <row r="1" spans="1:38" ht="16.149999999999999" customHeight="1" thickBot="1" x14ac:dyDescent="0.25">
      <c r="A1" s="57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6.149999999999999" customHeight="1" thickBot="1" x14ac:dyDescent="0.3">
      <c r="A2" s="57"/>
      <c r="B2" s="63" t="s">
        <v>175</v>
      </c>
      <c r="C2" s="64">
        <v>1</v>
      </c>
      <c r="D2" s="64">
        <f>C2+1</f>
        <v>2</v>
      </c>
      <c r="E2" s="64">
        <f t="shared" ref="E2:AK2" si="0">D2+1</f>
        <v>3</v>
      </c>
      <c r="F2" s="64">
        <f t="shared" si="0"/>
        <v>4</v>
      </c>
      <c r="G2" s="64">
        <f t="shared" si="0"/>
        <v>5</v>
      </c>
      <c r="H2" s="64">
        <f t="shared" si="0"/>
        <v>6</v>
      </c>
      <c r="I2" s="64">
        <f t="shared" si="0"/>
        <v>7</v>
      </c>
      <c r="J2" s="64">
        <f t="shared" si="0"/>
        <v>8</v>
      </c>
      <c r="K2" s="64">
        <f t="shared" si="0"/>
        <v>9</v>
      </c>
      <c r="L2" s="64">
        <f t="shared" si="0"/>
        <v>10</v>
      </c>
      <c r="M2" s="64">
        <f t="shared" si="0"/>
        <v>11</v>
      </c>
      <c r="N2" s="64">
        <f t="shared" si="0"/>
        <v>12</v>
      </c>
      <c r="O2" s="64">
        <f t="shared" si="0"/>
        <v>13</v>
      </c>
      <c r="P2" s="64">
        <f t="shared" si="0"/>
        <v>14</v>
      </c>
      <c r="Q2" s="64">
        <f t="shared" si="0"/>
        <v>15</v>
      </c>
      <c r="R2" s="64">
        <f t="shared" si="0"/>
        <v>16</v>
      </c>
      <c r="S2" s="64">
        <f t="shared" si="0"/>
        <v>17</v>
      </c>
      <c r="T2" s="64">
        <f t="shared" si="0"/>
        <v>18</v>
      </c>
      <c r="U2" s="64">
        <f t="shared" si="0"/>
        <v>19</v>
      </c>
      <c r="V2" s="64">
        <f t="shared" si="0"/>
        <v>20</v>
      </c>
      <c r="W2" s="64">
        <f t="shared" si="0"/>
        <v>21</v>
      </c>
      <c r="X2" s="64">
        <f t="shared" si="0"/>
        <v>22</v>
      </c>
      <c r="Y2" s="64">
        <f t="shared" si="0"/>
        <v>23</v>
      </c>
      <c r="Z2" s="64">
        <f t="shared" si="0"/>
        <v>24</v>
      </c>
      <c r="AA2" s="64">
        <f t="shared" si="0"/>
        <v>25</v>
      </c>
      <c r="AB2" s="64">
        <f t="shared" si="0"/>
        <v>26</v>
      </c>
      <c r="AC2" s="64">
        <f t="shared" si="0"/>
        <v>27</v>
      </c>
      <c r="AD2" s="64">
        <f t="shared" si="0"/>
        <v>28</v>
      </c>
      <c r="AE2" s="64">
        <f t="shared" si="0"/>
        <v>29</v>
      </c>
      <c r="AF2" s="64">
        <f t="shared" si="0"/>
        <v>30</v>
      </c>
      <c r="AG2" s="64">
        <f t="shared" si="0"/>
        <v>31</v>
      </c>
      <c r="AH2" s="64">
        <f t="shared" si="0"/>
        <v>32</v>
      </c>
      <c r="AI2" s="64">
        <f t="shared" si="0"/>
        <v>33</v>
      </c>
      <c r="AJ2" s="64">
        <f t="shared" si="0"/>
        <v>34</v>
      </c>
      <c r="AK2" s="64">
        <f t="shared" si="0"/>
        <v>35</v>
      </c>
      <c r="AL2" s="57"/>
    </row>
    <row r="3" spans="1:38" ht="16.149999999999999" customHeight="1" x14ac:dyDescent="0.2">
      <c r="A3" s="57"/>
      <c r="B3" s="65" t="s">
        <v>11</v>
      </c>
      <c r="C3" s="97">
        <f>Section3!C3</f>
        <v>14279.999999999998</v>
      </c>
      <c r="D3" s="98">
        <f>IF(Section3!$C$19="No",C3*(1+Section3!$C$22),D19)</f>
        <v>14594.159999999998</v>
      </c>
      <c r="E3" s="98">
        <f>IF(Section3!$C$19="No",D3*(1+Section3!$C$22),E19)</f>
        <v>14915.231519999998</v>
      </c>
      <c r="F3" s="98">
        <f>IF(Section3!$C$19="No",E3*(1+Section3!$C$22),F19)</f>
        <v>15243.366613439997</v>
      </c>
      <c r="G3" s="98">
        <f>IF(Section3!$C$19="No",F3*(1+Section3!$C$22),G19)</f>
        <v>15578.720678935677</v>
      </c>
      <c r="H3" s="98">
        <f>IF(Section3!$C$19="No",G3*(1+Section3!$C$22),H19)</f>
        <v>15921.452533872261</v>
      </c>
      <c r="I3" s="98">
        <f>IF(Section3!$C$19="No",H3*(1+Section3!$C$22),I19)</f>
        <v>16271.724489617451</v>
      </c>
      <c r="J3" s="98">
        <f>IF(Section3!$C$19="No",I3*(1+Section3!$C$22),J19)</f>
        <v>16629.702428389035</v>
      </c>
      <c r="K3" s="98">
        <f>IF(Section3!$C$19="No",J3*(1+Section3!$C$22),K19)</f>
        <v>16995.555881813594</v>
      </c>
      <c r="L3" s="98">
        <f>IF(Section3!$C$19="No",K3*(1+Section3!$C$22),L19)</f>
        <v>17369.458111213495</v>
      </c>
      <c r="M3" s="98">
        <f>IF(Section3!$C$19="No",L3*(1+Section3!$C$22),M19)</f>
        <v>17751.586189660193</v>
      </c>
      <c r="N3" s="98">
        <f>IF(Section3!$C$19="No",M3*(1+Section3!$C$22),N19)</f>
        <v>18142.121085832718</v>
      </c>
      <c r="O3" s="98">
        <f>IF(Section3!$C$19="No",N3*(1+Section3!$C$22),O19)</f>
        <v>18541.247749721038</v>
      </c>
      <c r="P3" s="98">
        <f>IF(Section3!$C$19="No",O3*(1+Section3!$C$22),P19)</f>
        <v>18949.1552002149</v>
      </c>
      <c r="Q3" s="98">
        <f>IF(Section3!$C$19="No",P3*(1+Section3!$C$22),Q19)</f>
        <v>19366.036614619628</v>
      </c>
      <c r="R3" s="98">
        <f>IF(Section3!$C$19="No",Q3*(1+Section3!$C$22),R19)</f>
        <v>19792.089420141259</v>
      </c>
      <c r="S3" s="98">
        <f>IF(Section3!$C$19="No",R3*(1+Section3!$C$22),S19)</f>
        <v>20227.515387384366</v>
      </c>
      <c r="T3" s="98">
        <f>IF(Section3!$C$19="No",S3*(1+Section3!$C$22),T19)</f>
        <v>20672.520725906823</v>
      </c>
      <c r="U3" s="98">
        <f>IF(Section3!$C$19="No",T3*(1+Section3!$C$22),U19)</f>
        <v>21127.316181876773</v>
      </c>
      <c r="V3" s="98">
        <f>IF(Section3!$C$19="No",U3*(1+Section3!$C$22),V19)</f>
        <v>21592.117137878064</v>
      </c>
      <c r="W3" s="98">
        <f>IF(Section3!$C$19="No",V3*(1+Section3!$C$22),W19)</f>
        <v>22067.143714911381</v>
      </c>
      <c r="X3" s="98">
        <f>IF(Section3!$C$19="No",W3*(1+Section3!$C$22),X19)</f>
        <v>22552.62087663943</v>
      </c>
      <c r="Y3" s="98">
        <f>IF(Section3!$C$19="No",X3*(1+Section3!$C$22),Y19)</f>
        <v>23048.778535925499</v>
      </c>
      <c r="Z3" s="98">
        <f>IF(Section3!$C$19="No",Y3*(1+Section3!$C$22),Z19)</f>
        <v>23555.851663715861</v>
      </c>
      <c r="AA3" s="98">
        <f>IF(Section3!$C$19="No",Z3*(1+Section3!$C$22),AA19)</f>
        <v>24074.080400317609</v>
      </c>
      <c r="AB3" s="98">
        <f>IF(Section3!$C$19="No",AA3*(1+Section3!$C$22),AB19)</f>
        <v>24603.710169124595</v>
      </c>
      <c r="AC3" s="98">
        <f>IF(Section3!$C$19="No",AB3*(1+Section3!$C$22),AC19)</f>
        <v>25144.991792845336</v>
      </c>
      <c r="AD3" s="98">
        <f>IF(Section3!$C$19="No",AC3*(1+Section3!$C$22),AD19)</f>
        <v>25698.181612287935</v>
      </c>
      <c r="AE3" s="98">
        <f>IF(Section3!$C$19="No",AD3*(1+Section3!$C$22),AE19)</f>
        <v>26263.54160775827</v>
      </c>
      <c r="AF3" s="98">
        <f>IF(Section3!$C$19="No",AE3*(1+Section3!$C$22),AF19)</f>
        <v>26841.339523128954</v>
      </c>
      <c r="AG3" s="98">
        <f>IF(Section3!$C$19="No",AF3*(1+Section3!$C$22),AG19)</f>
        <v>27431.848992637792</v>
      </c>
      <c r="AH3" s="98">
        <f>IF(Section3!$C$19="No",AG3*(1+Section3!$C$22),AH19)</f>
        <v>28035.349670475822</v>
      </c>
      <c r="AI3" s="98">
        <f>IF(Section3!$C$19="No",AH3*(1+Section3!$C$22),AI19)</f>
        <v>28652.127363226289</v>
      </c>
      <c r="AJ3" s="98">
        <f>IF(Section3!$C$19="No",AI3*(1+Section3!$C$22),AJ19)</f>
        <v>29282.474165217267</v>
      </c>
      <c r="AK3" s="98">
        <f>IF(Section3!$C$19="No",AJ3*(1+Section3!$C$22),AK19)</f>
        <v>29926.688596852047</v>
      </c>
      <c r="AL3" s="57"/>
    </row>
    <row r="4" spans="1:38" ht="16.149999999999999" customHeight="1" x14ac:dyDescent="0.2">
      <c r="A4" s="57"/>
      <c r="B4" s="51" t="s">
        <v>12</v>
      </c>
      <c r="C4" s="98">
        <f>Section3!C4</f>
        <v>0</v>
      </c>
      <c r="D4" s="98">
        <f>IF(Section3!$C$19="No",C4*(1+Section3!$C$22),D20)</f>
        <v>0</v>
      </c>
      <c r="E4" s="98">
        <f>IF(Section3!$C$19="No",D4*(1+Section3!$C$22),E20)</f>
        <v>0</v>
      </c>
      <c r="F4" s="98">
        <f>IF(Section3!$C$19="No",E4*(1+Section3!$C$22),F20)</f>
        <v>0</v>
      </c>
      <c r="G4" s="98">
        <f>IF(Section3!$C$19="No",F4*(1+Section3!$C$22),G20)</f>
        <v>0</v>
      </c>
      <c r="H4" s="98">
        <f>IF(Section3!$C$19="No",G4*(1+Section3!$C$22),H20)</f>
        <v>0</v>
      </c>
      <c r="I4" s="98">
        <f>IF(Section3!$C$19="No",H4*(1+Section3!$C$22),I20)</f>
        <v>0</v>
      </c>
      <c r="J4" s="98">
        <f>IF(Section3!$C$19="No",I4*(1+Section3!$C$22),J20)</f>
        <v>0</v>
      </c>
      <c r="K4" s="98">
        <f>IF(Section3!$C$19="No",J4*(1+Section3!$C$22),K20)</f>
        <v>0</v>
      </c>
      <c r="L4" s="98">
        <f>IF(Section3!$C$19="No",K4*(1+Section3!$C$22),L20)</f>
        <v>0</v>
      </c>
      <c r="M4" s="98">
        <f>IF(Section3!$C$19="No",L4*(1+Section3!$C$22),M20)</f>
        <v>0</v>
      </c>
      <c r="N4" s="98">
        <f>IF(Section3!$C$19="No",M4*(1+Section3!$C$22),N20)</f>
        <v>0</v>
      </c>
      <c r="O4" s="98">
        <f>IF(Section3!$C$19="No",N4*(1+Section3!$C$22),O20)</f>
        <v>0</v>
      </c>
      <c r="P4" s="98">
        <f>IF(Section3!$C$19="No",O4*(1+Section3!$C$22),P20)</f>
        <v>0</v>
      </c>
      <c r="Q4" s="98">
        <f>IF(Section3!$C$19="No",P4*(1+Section3!$C$22),Q20)</f>
        <v>0</v>
      </c>
      <c r="R4" s="98">
        <f>IF(Section3!$C$19="No",Q4*(1+Section3!$C$22),R20)</f>
        <v>0</v>
      </c>
      <c r="S4" s="98">
        <f>IF(Section3!$C$19="No",R4*(1+Section3!$C$22),S20)</f>
        <v>0</v>
      </c>
      <c r="T4" s="98">
        <f>IF(Section3!$C$19="No",S4*(1+Section3!$C$22),T20)</f>
        <v>0</v>
      </c>
      <c r="U4" s="98">
        <f>IF(Section3!$C$19="No",T4*(1+Section3!$C$22),U20)</f>
        <v>0</v>
      </c>
      <c r="V4" s="98">
        <f>IF(Section3!$C$19="No",U4*(1+Section3!$C$22),V20)</f>
        <v>0</v>
      </c>
      <c r="W4" s="98">
        <f>IF(Section3!$C$19="No",V4*(1+Section3!$C$22),W20)</f>
        <v>0</v>
      </c>
      <c r="X4" s="98">
        <f>IF(Section3!$C$19="No",W4*(1+Section3!$C$22),X20)</f>
        <v>0</v>
      </c>
      <c r="Y4" s="98">
        <f>IF(Section3!$C$19="No",X4*(1+Section3!$C$22),Y20)</f>
        <v>0</v>
      </c>
      <c r="Z4" s="98">
        <f>IF(Section3!$C$19="No",Y4*(1+Section3!$C$22),Z20)</f>
        <v>0</v>
      </c>
      <c r="AA4" s="98">
        <f>IF(Section3!$C$19="No",Z4*(1+Section3!$C$22),AA20)</f>
        <v>0</v>
      </c>
      <c r="AB4" s="98">
        <f>IF(Section3!$C$19="No",AA4*(1+Section3!$C$22),AB20)</f>
        <v>0</v>
      </c>
      <c r="AC4" s="98">
        <f>IF(Section3!$C$19="No",AB4*(1+Section3!$C$22),AC20)</f>
        <v>0</v>
      </c>
      <c r="AD4" s="98">
        <f>IF(Section3!$C$19="No",AC4*(1+Section3!$C$22),AD20)</f>
        <v>0</v>
      </c>
      <c r="AE4" s="98">
        <f>IF(Section3!$C$19="No",AD4*(1+Section3!$C$22),AE20)</f>
        <v>0</v>
      </c>
      <c r="AF4" s="98">
        <f>IF(Section3!$C$19="No",AE4*(1+Section3!$C$22),AF20)</f>
        <v>0</v>
      </c>
      <c r="AG4" s="98">
        <f>IF(Section3!$C$19="No",AF4*(1+Section3!$C$22),AG20)</f>
        <v>0</v>
      </c>
      <c r="AH4" s="98">
        <f>IF(Section3!$C$19="No",AG4*(1+Section3!$C$22),AH20)</f>
        <v>0</v>
      </c>
      <c r="AI4" s="98">
        <f>IF(Section3!$C$19="No",AH4*(1+Section3!$C$22),AI20)</f>
        <v>0</v>
      </c>
      <c r="AJ4" s="98">
        <f>IF(Section3!$C$19="No",AI4*(1+Section3!$C$22),AJ20)</f>
        <v>0</v>
      </c>
      <c r="AK4" s="98">
        <f>IF(Section3!$C$19="No",AJ4*(1+Section3!$C$22),AK20)</f>
        <v>0</v>
      </c>
      <c r="AL4" s="57"/>
    </row>
    <row r="5" spans="1:38" ht="16.149999999999999" customHeight="1" x14ac:dyDescent="0.2">
      <c r="A5" s="57"/>
      <c r="B5" s="51" t="s">
        <v>20</v>
      </c>
      <c r="C5" s="98">
        <f>Section3!C5</f>
        <v>0</v>
      </c>
      <c r="D5" s="98">
        <f>IF(Section3!$C$19="No",C5*(1+Section3!$C$22),D21)</f>
        <v>0</v>
      </c>
      <c r="E5" s="98">
        <f>IF(Section3!$C$19="No",D5*(1+Section3!$C$22),E21)</f>
        <v>0</v>
      </c>
      <c r="F5" s="98">
        <f>IF(Section3!$C$19="No",E5*(1+Section3!$C$22),F21)</f>
        <v>0</v>
      </c>
      <c r="G5" s="98">
        <f>IF(Section3!$C$19="No",F5*(1+Section3!$C$22),G21)</f>
        <v>0</v>
      </c>
      <c r="H5" s="98">
        <f>IF(Section3!$C$19="No",G5*(1+Section3!$C$22),H21)</f>
        <v>0</v>
      </c>
      <c r="I5" s="98">
        <f>IF(Section3!$C$19="No",H5*(1+Section3!$C$22),I21)</f>
        <v>0</v>
      </c>
      <c r="J5" s="98">
        <f>IF(Section3!$C$19="No",I5*(1+Section3!$C$22),J21)</f>
        <v>0</v>
      </c>
      <c r="K5" s="98">
        <f>IF(Section3!$C$19="No",J5*(1+Section3!$C$22),K21)</f>
        <v>0</v>
      </c>
      <c r="L5" s="98">
        <f>IF(Section3!$C$19="No",K5*(1+Section3!$C$22),L21)</f>
        <v>0</v>
      </c>
      <c r="M5" s="98">
        <f>IF(Section3!$C$19="No",L5*(1+Section3!$C$22),M21)</f>
        <v>0</v>
      </c>
      <c r="N5" s="98">
        <f>IF(Section3!$C$19="No",M5*(1+Section3!$C$22),N21)</f>
        <v>0</v>
      </c>
      <c r="O5" s="98">
        <f>IF(Section3!$C$19="No",N5*(1+Section3!$C$22),O21)</f>
        <v>0</v>
      </c>
      <c r="P5" s="98">
        <f>IF(Section3!$C$19="No",O5*(1+Section3!$C$22),P21)</f>
        <v>0</v>
      </c>
      <c r="Q5" s="98">
        <f>IF(Section3!$C$19="No",P5*(1+Section3!$C$22),Q21)</f>
        <v>0</v>
      </c>
      <c r="R5" s="98">
        <f>IF(Section3!$C$19="No",Q5*(1+Section3!$C$22),R21)</f>
        <v>0</v>
      </c>
      <c r="S5" s="98">
        <f>IF(Section3!$C$19="No",R5*(1+Section3!$C$22),S21)</f>
        <v>0</v>
      </c>
      <c r="T5" s="98">
        <f>IF(Section3!$C$19="No",S5*(1+Section3!$C$22),T21)</f>
        <v>0</v>
      </c>
      <c r="U5" s="98">
        <f>IF(Section3!$C$19="No",T5*(1+Section3!$C$22),U21)</f>
        <v>0</v>
      </c>
      <c r="V5" s="98">
        <f>IF(Section3!$C$19="No",U5*(1+Section3!$C$22),V21)</f>
        <v>0</v>
      </c>
      <c r="W5" s="98">
        <f>IF(Section3!$C$19="No",V5*(1+Section3!$C$22),W21)</f>
        <v>0</v>
      </c>
      <c r="X5" s="98">
        <f>IF(Section3!$C$19="No",W5*(1+Section3!$C$22),X21)</f>
        <v>0</v>
      </c>
      <c r="Y5" s="98">
        <f>IF(Section3!$C$19="No",X5*(1+Section3!$C$22),Y21)</f>
        <v>0</v>
      </c>
      <c r="Z5" s="98">
        <f>IF(Section3!$C$19="No",Y5*(1+Section3!$C$22),Z21)</f>
        <v>0</v>
      </c>
      <c r="AA5" s="98">
        <f>IF(Section3!$C$19="No",Z5*(1+Section3!$C$22),AA21)</f>
        <v>0</v>
      </c>
      <c r="AB5" s="98">
        <f>IF(Section3!$C$19="No",AA5*(1+Section3!$C$22),AB21)</f>
        <v>0</v>
      </c>
      <c r="AC5" s="98">
        <f>IF(Section3!$C$19="No",AB5*(1+Section3!$C$22),AC21)</f>
        <v>0</v>
      </c>
      <c r="AD5" s="98">
        <f>IF(Section3!$C$19="No",AC5*(1+Section3!$C$22),AD21)</f>
        <v>0</v>
      </c>
      <c r="AE5" s="98">
        <f>IF(Section3!$C$19="No",AD5*(1+Section3!$C$22),AE21)</f>
        <v>0</v>
      </c>
      <c r="AF5" s="98">
        <f>IF(Section3!$C$19="No",AE5*(1+Section3!$C$22),AF21)</f>
        <v>0</v>
      </c>
      <c r="AG5" s="98">
        <f>IF(Section3!$C$19="No",AF5*(1+Section3!$C$22),AG21)</f>
        <v>0</v>
      </c>
      <c r="AH5" s="98">
        <f>IF(Section3!$C$19="No",AG5*(1+Section3!$C$22),AH21)</f>
        <v>0</v>
      </c>
      <c r="AI5" s="98">
        <f>IF(Section3!$C$19="No",AH5*(1+Section3!$C$22),AI21)</f>
        <v>0</v>
      </c>
      <c r="AJ5" s="98">
        <f>IF(Section3!$C$19="No",AI5*(1+Section3!$C$22),AJ21)</f>
        <v>0</v>
      </c>
      <c r="AK5" s="98">
        <f>IF(Section3!$C$19="No",AJ5*(1+Section3!$C$22),AK21)</f>
        <v>0</v>
      </c>
      <c r="AL5" s="57"/>
    </row>
    <row r="6" spans="1:38" ht="16.149999999999999" customHeight="1" x14ac:dyDescent="0.2">
      <c r="A6" s="57"/>
      <c r="B6" s="51" t="s">
        <v>19</v>
      </c>
      <c r="C6" s="98">
        <f>Section3!C6</f>
        <v>0</v>
      </c>
      <c r="D6" s="98">
        <f>IF(Section3!$C$19="No",C6*(1+Section3!$C$22),D22)</f>
        <v>0</v>
      </c>
      <c r="E6" s="98">
        <f>IF(Section3!$C$19="No",D6*(1+Section3!$C$22),E22)</f>
        <v>0</v>
      </c>
      <c r="F6" s="98">
        <f>IF(Section3!$C$19="No",E6*(1+Section3!$C$22),F22)</f>
        <v>0</v>
      </c>
      <c r="G6" s="98">
        <f>IF(Section3!$C$19="No",F6*(1+Section3!$C$22),G22)</f>
        <v>0</v>
      </c>
      <c r="H6" s="98">
        <f>IF(Section3!$C$19="No",G6*(1+Section3!$C$22),H22)</f>
        <v>0</v>
      </c>
      <c r="I6" s="98">
        <f>IF(Section3!$C$19="No",H6*(1+Section3!$C$22),I22)</f>
        <v>0</v>
      </c>
      <c r="J6" s="98">
        <f>IF(Section3!$C$19="No",I6*(1+Section3!$C$22),J22)</f>
        <v>0</v>
      </c>
      <c r="K6" s="98">
        <f>IF(Section3!$C$19="No",J6*(1+Section3!$C$22),K22)</f>
        <v>0</v>
      </c>
      <c r="L6" s="98">
        <f>IF(Section3!$C$19="No",K6*(1+Section3!$C$22),L22)</f>
        <v>0</v>
      </c>
      <c r="M6" s="98">
        <f>IF(Section3!$C$19="No",L6*(1+Section3!$C$22),M22)</f>
        <v>0</v>
      </c>
      <c r="N6" s="98">
        <f>IF(Section3!$C$19="No",M6*(1+Section3!$C$22),N22)</f>
        <v>0</v>
      </c>
      <c r="O6" s="98">
        <f>IF(Section3!$C$19="No",N6*(1+Section3!$C$22),O22)</f>
        <v>0</v>
      </c>
      <c r="P6" s="98">
        <f>IF(Section3!$C$19="No",O6*(1+Section3!$C$22),P22)</f>
        <v>0</v>
      </c>
      <c r="Q6" s="98">
        <f>IF(Section3!$C$19="No",P6*(1+Section3!$C$22),Q22)</f>
        <v>0</v>
      </c>
      <c r="R6" s="98">
        <f>IF(Section3!$C$19="No",Q6*(1+Section3!$C$22),R22)</f>
        <v>0</v>
      </c>
      <c r="S6" s="98">
        <f>IF(Section3!$C$19="No",R6*(1+Section3!$C$22),S22)</f>
        <v>0</v>
      </c>
      <c r="T6" s="98">
        <f>IF(Section3!$C$19="No",S6*(1+Section3!$C$22),T22)</f>
        <v>0</v>
      </c>
      <c r="U6" s="98">
        <f>IF(Section3!$C$19="No",T6*(1+Section3!$C$22),U22)</f>
        <v>0</v>
      </c>
      <c r="V6" s="98">
        <f>IF(Section3!$C$19="No",U6*(1+Section3!$C$22),V22)</f>
        <v>0</v>
      </c>
      <c r="W6" s="98">
        <f>IF(Section3!$C$19="No",V6*(1+Section3!$C$22),W22)</f>
        <v>0</v>
      </c>
      <c r="X6" s="98">
        <f>IF(Section3!$C$19="No",W6*(1+Section3!$C$22),X22)</f>
        <v>0</v>
      </c>
      <c r="Y6" s="98">
        <f>IF(Section3!$C$19="No",X6*(1+Section3!$C$22),Y22)</f>
        <v>0</v>
      </c>
      <c r="Z6" s="98">
        <f>IF(Section3!$C$19="No",Y6*(1+Section3!$C$22),Z22)</f>
        <v>0</v>
      </c>
      <c r="AA6" s="98">
        <f>IF(Section3!$C$19="No",Z6*(1+Section3!$C$22),AA22)</f>
        <v>0</v>
      </c>
      <c r="AB6" s="98">
        <f>IF(Section3!$C$19="No",AA6*(1+Section3!$C$22),AB22)</f>
        <v>0</v>
      </c>
      <c r="AC6" s="98">
        <f>IF(Section3!$C$19="No",AB6*(1+Section3!$C$22),AC22)</f>
        <v>0</v>
      </c>
      <c r="AD6" s="98">
        <f>IF(Section3!$C$19="No",AC6*(1+Section3!$C$22),AD22)</f>
        <v>0</v>
      </c>
      <c r="AE6" s="98">
        <f>IF(Section3!$C$19="No",AD6*(1+Section3!$C$22),AE22)</f>
        <v>0</v>
      </c>
      <c r="AF6" s="98">
        <f>IF(Section3!$C$19="No",AE6*(1+Section3!$C$22),AF22)</f>
        <v>0</v>
      </c>
      <c r="AG6" s="98">
        <f>IF(Section3!$C$19="No",AF6*(1+Section3!$C$22),AG22)</f>
        <v>0</v>
      </c>
      <c r="AH6" s="98">
        <f>IF(Section3!$C$19="No",AG6*(1+Section3!$C$22),AH22)</f>
        <v>0</v>
      </c>
      <c r="AI6" s="98">
        <f>IF(Section3!$C$19="No",AH6*(1+Section3!$C$22),AI22)</f>
        <v>0</v>
      </c>
      <c r="AJ6" s="98">
        <f>IF(Section3!$C$19="No",AI6*(1+Section3!$C$22),AJ22)</f>
        <v>0</v>
      </c>
      <c r="AK6" s="98">
        <f>IF(Section3!$C$19="No",AJ6*(1+Section3!$C$22),AK22)</f>
        <v>0</v>
      </c>
      <c r="AL6" s="57"/>
    </row>
    <row r="7" spans="1:38" ht="16.149999999999999" customHeight="1" x14ac:dyDescent="0.2">
      <c r="A7" s="57"/>
      <c r="B7" s="51" t="s">
        <v>21</v>
      </c>
      <c r="C7" s="98">
        <f>Section3!C7</f>
        <v>0</v>
      </c>
      <c r="D7" s="98">
        <f>IF(Section3!$C$19="No",C7*(1+Section3!$C$22),D23)</f>
        <v>0</v>
      </c>
      <c r="E7" s="98">
        <f>IF(Section3!$C$19="No",D7*(1+Section3!$C$22),E23)</f>
        <v>0</v>
      </c>
      <c r="F7" s="98">
        <f>IF(Section3!$C$19="No",E7*(1+Section3!$C$22),F23)</f>
        <v>0</v>
      </c>
      <c r="G7" s="98">
        <f>IF(Section3!$C$19="No",F7*(1+Section3!$C$22),G23)</f>
        <v>0</v>
      </c>
      <c r="H7" s="98">
        <f>IF(Section3!$C$19="No",G7*(1+Section3!$C$22),H23)</f>
        <v>0</v>
      </c>
      <c r="I7" s="98">
        <f>IF(Section3!$C$19="No",H7*(1+Section3!$C$22),I23)</f>
        <v>0</v>
      </c>
      <c r="J7" s="98">
        <f>IF(Section3!$C$19="No",I7*(1+Section3!$C$22),J23)</f>
        <v>0</v>
      </c>
      <c r="K7" s="98">
        <f>IF(Section3!$C$19="No",J7*(1+Section3!$C$22),K23)</f>
        <v>0</v>
      </c>
      <c r="L7" s="98">
        <f>IF(Section3!$C$19="No",K7*(1+Section3!$C$22),L23)</f>
        <v>0</v>
      </c>
      <c r="M7" s="98">
        <f>IF(Section3!$C$19="No",L7*(1+Section3!$C$22),M23)</f>
        <v>0</v>
      </c>
      <c r="N7" s="98">
        <f>IF(Section3!$C$19="No",M7*(1+Section3!$C$22),N23)</f>
        <v>0</v>
      </c>
      <c r="O7" s="98">
        <f>IF(Section3!$C$19="No",N7*(1+Section3!$C$22),O23)</f>
        <v>0</v>
      </c>
      <c r="P7" s="98">
        <f>IF(Section3!$C$19="No",O7*(1+Section3!$C$22),P23)</f>
        <v>0</v>
      </c>
      <c r="Q7" s="98">
        <f>IF(Section3!$C$19="No",P7*(1+Section3!$C$22),Q23)</f>
        <v>0</v>
      </c>
      <c r="R7" s="98">
        <f>IF(Section3!$C$19="No",Q7*(1+Section3!$C$22),R23)</f>
        <v>0</v>
      </c>
      <c r="S7" s="98">
        <f>IF(Section3!$C$19="No",R7*(1+Section3!$C$22),S23)</f>
        <v>0</v>
      </c>
      <c r="T7" s="98">
        <f>IF(Section3!$C$19="No",S7*(1+Section3!$C$22),T23)</f>
        <v>0</v>
      </c>
      <c r="U7" s="98">
        <f>IF(Section3!$C$19="No",T7*(1+Section3!$C$22),U23)</f>
        <v>0</v>
      </c>
      <c r="V7" s="98">
        <f>IF(Section3!$C$19="No",U7*(1+Section3!$C$22),V23)</f>
        <v>0</v>
      </c>
      <c r="W7" s="98">
        <f>IF(Section3!$C$19="No",V7*(1+Section3!$C$22),W23)</f>
        <v>0</v>
      </c>
      <c r="X7" s="98">
        <f>IF(Section3!$C$19="No",W7*(1+Section3!$C$22),X23)</f>
        <v>0</v>
      </c>
      <c r="Y7" s="98">
        <f>IF(Section3!$C$19="No",X7*(1+Section3!$C$22),Y23)</f>
        <v>0</v>
      </c>
      <c r="Z7" s="98">
        <f>IF(Section3!$C$19="No",Y7*(1+Section3!$C$22),Z23)</f>
        <v>0</v>
      </c>
      <c r="AA7" s="98">
        <f>IF(Section3!$C$19="No",Z7*(1+Section3!$C$22),AA23)</f>
        <v>0</v>
      </c>
      <c r="AB7" s="98">
        <f>IF(Section3!$C$19="No",AA7*(1+Section3!$C$22),AB23)</f>
        <v>0</v>
      </c>
      <c r="AC7" s="98">
        <f>IF(Section3!$C$19="No",AB7*(1+Section3!$C$22),AC23)</f>
        <v>0</v>
      </c>
      <c r="AD7" s="98">
        <f>IF(Section3!$C$19="No",AC7*(1+Section3!$C$22),AD23)</f>
        <v>0</v>
      </c>
      <c r="AE7" s="98">
        <f>IF(Section3!$C$19="No",AD7*(1+Section3!$C$22),AE23)</f>
        <v>0</v>
      </c>
      <c r="AF7" s="98">
        <f>IF(Section3!$C$19="No",AE7*(1+Section3!$C$22),AF23)</f>
        <v>0</v>
      </c>
      <c r="AG7" s="98">
        <f>IF(Section3!$C$19="No",AF7*(1+Section3!$C$22),AG23)</f>
        <v>0</v>
      </c>
      <c r="AH7" s="98">
        <f>IF(Section3!$C$19="No",AG7*(1+Section3!$C$22),AH23)</f>
        <v>0</v>
      </c>
      <c r="AI7" s="98">
        <f>IF(Section3!$C$19="No",AH7*(1+Section3!$C$22),AI23)</f>
        <v>0</v>
      </c>
      <c r="AJ7" s="98">
        <f>IF(Section3!$C$19="No",AI7*(1+Section3!$C$22),AJ23)</f>
        <v>0</v>
      </c>
      <c r="AK7" s="98">
        <f>IF(Section3!$C$19="No",AJ7*(1+Section3!$C$22),AK23)</f>
        <v>0</v>
      </c>
      <c r="AL7" s="57"/>
    </row>
    <row r="8" spans="1:38" ht="16.149999999999999" customHeight="1" x14ac:dyDescent="0.2">
      <c r="A8" s="57"/>
      <c r="B8" s="51" t="s">
        <v>18</v>
      </c>
      <c r="C8" s="98">
        <f>Section3!C8</f>
        <v>0</v>
      </c>
      <c r="D8" s="98">
        <f>IF(Section3!$C$19="No",C8*(1+Section3!$C$22),D24)</f>
        <v>0</v>
      </c>
      <c r="E8" s="98">
        <f>IF(Section3!$C$19="No",D8*(1+Section3!$C$22),E24)</f>
        <v>0</v>
      </c>
      <c r="F8" s="98">
        <f>IF(Section3!$C$19="No",E8*(1+Section3!$C$22),F24)</f>
        <v>0</v>
      </c>
      <c r="G8" s="98">
        <f>IF(Section3!$C$19="No",F8*(1+Section3!$C$22),G24)</f>
        <v>0</v>
      </c>
      <c r="H8" s="98">
        <f>IF(Section3!$C$19="No",G8*(1+Section3!$C$22),H24)</f>
        <v>0</v>
      </c>
      <c r="I8" s="98">
        <f>IF(Section3!$C$19="No",H8*(1+Section3!$C$22),I24)</f>
        <v>0</v>
      </c>
      <c r="J8" s="98">
        <f>IF(Section3!$C$19="No",I8*(1+Section3!$C$22),J24)</f>
        <v>0</v>
      </c>
      <c r="K8" s="98">
        <f>IF(Section3!$C$19="No",J8*(1+Section3!$C$22),K24)</f>
        <v>0</v>
      </c>
      <c r="L8" s="98">
        <f>IF(Section3!$C$19="No",K8*(1+Section3!$C$22),L24)</f>
        <v>0</v>
      </c>
      <c r="M8" s="98">
        <f>IF(Section3!$C$19="No",L8*(1+Section3!$C$22),M24)</f>
        <v>0</v>
      </c>
      <c r="N8" s="98">
        <f>IF(Section3!$C$19="No",M8*(1+Section3!$C$22),N24)</f>
        <v>0</v>
      </c>
      <c r="O8" s="98">
        <f>IF(Section3!$C$19="No",N8*(1+Section3!$C$22),O24)</f>
        <v>0</v>
      </c>
      <c r="P8" s="98">
        <f>IF(Section3!$C$19="No",O8*(1+Section3!$C$22),P24)</f>
        <v>0</v>
      </c>
      <c r="Q8" s="98">
        <f>IF(Section3!$C$19="No",P8*(1+Section3!$C$22),Q24)</f>
        <v>0</v>
      </c>
      <c r="R8" s="98">
        <f>IF(Section3!$C$19="No",Q8*(1+Section3!$C$22),R24)</f>
        <v>0</v>
      </c>
      <c r="S8" s="98">
        <f>IF(Section3!$C$19="No",R8*(1+Section3!$C$22),S24)</f>
        <v>0</v>
      </c>
      <c r="T8" s="98">
        <f>IF(Section3!$C$19="No",S8*(1+Section3!$C$22),T24)</f>
        <v>0</v>
      </c>
      <c r="U8" s="98">
        <f>IF(Section3!$C$19="No",T8*(1+Section3!$C$22),U24)</f>
        <v>0</v>
      </c>
      <c r="V8" s="98">
        <f>IF(Section3!$C$19="No",U8*(1+Section3!$C$22),V24)</f>
        <v>0</v>
      </c>
      <c r="W8" s="98">
        <f>IF(Section3!$C$19="No",V8*(1+Section3!$C$22),W24)</f>
        <v>0</v>
      </c>
      <c r="X8" s="98">
        <f>IF(Section3!$C$19="No",W8*(1+Section3!$C$22),X24)</f>
        <v>0</v>
      </c>
      <c r="Y8" s="98">
        <f>IF(Section3!$C$19="No",X8*(1+Section3!$C$22),Y24)</f>
        <v>0</v>
      </c>
      <c r="Z8" s="98">
        <f>IF(Section3!$C$19="No",Y8*(1+Section3!$C$22),Z24)</f>
        <v>0</v>
      </c>
      <c r="AA8" s="98">
        <f>IF(Section3!$C$19="No",Z8*(1+Section3!$C$22),AA24)</f>
        <v>0</v>
      </c>
      <c r="AB8" s="98">
        <f>IF(Section3!$C$19="No",AA8*(1+Section3!$C$22),AB24)</f>
        <v>0</v>
      </c>
      <c r="AC8" s="98">
        <f>IF(Section3!$C$19="No",AB8*(1+Section3!$C$22),AC24)</f>
        <v>0</v>
      </c>
      <c r="AD8" s="98">
        <f>IF(Section3!$C$19="No",AC8*(1+Section3!$C$22),AD24)</f>
        <v>0</v>
      </c>
      <c r="AE8" s="98">
        <f>IF(Section3!$C$19="No",AD8*(1+Section3!$C$22),AE24)</f>
        <v>0</v>
      </c>
      <c r="AF8" s="98">
        <f>IF(Section3!$C$19="No",AE8*(1+Section3!$C$22),AF24)</f>
        <v>0</v>
      </c>
      <c r="AG8" s="98">
        <f>IF(Section3!$C$19="No",AF8*(1+Section3!$C$22),AG24)</f>
        <v>0</v>
      </c>
      <c r="AH8" s="98">
        <f>IF(Section3!$C$19="No",AG8*(1+Section3!$C$22),AH24)</f>
        <v>0</v>
      </c>
      <c r="AI8" s="98">
        <f>IF(Section3!$C$19="No",AH8*(1+Section3!$C$22),AI24)</f>
        <v>0</v>
      </c>
      <c r="AJ8" s="98">
        <f>IF(Section3!$C$19="No",AI8*(1+Section3!$C$22),AJ24)</f>
        <v>0</v>
      </c>
      <c r="AK8" s="98">
        <f>IF(Section3!$C$19="No",AJ8*(1+Section3!$C$22),AK24)</f>
        <v>0</v>
      </c>
      <c r="AL8" s="57"/>
    </row>
    <row r="9" spans="1:38" ht="16.149999999999999" customHeight="1" x14ac:dyDescent="0.2">
      <c r="A9" s="57"/>
      <c r="B9" s="51" t="s">
        <v>13</v>
      </c>
      <c r="C9" s="98">
        <f>Section3!C9</f>
        <v>0</v>
      </c>
      <c r="D9" s="98">
        <f>IF(Section3!$C$19="No",C9*(1+Section3!$C$22),D25)</f>
        <v>0</v>
      </c>
      <c r="E9" s="98">
        <f>IF(Section3!$C$19="No",D9*(1+Section3!$C$22),E25)</f>
        <v>0</v>
      </c>
      <c r="F9" s="98">
        <f>IF(Section3!$C$19="No",E9*(1+Section3!$C$22),F25)</f>
        <v>0</v>
      </c>
      <c r="G9" s="98">
        <f>IF(Section3!$C$19="No",F9*(1+Section3!$C$22),G25)</f>
        <v>0</v>
      </c>
      <c r="H9" s="98">
        <f>IF(Section3!$C$19="No",G9*(1+Section3!$C$22),H25)</f>
        <v>0</v>
      </c>
      <c r="I9" s="98">
        <f>IF(Section3!$C$19="No",H9*(1+Section3!$C$22),I25)</f>
        <v>0</v>
      </c>
      <c r="J9" s="98">
        <f>IF(Section3!$C$19="No",I9*(1+Section3!$C$22),J25)</f>
        <v>0</v>
      </c>
      <c r="K9" s="98">
        <f>IF(Section3!$C$19="No",J9*(1+Section3!$C$22),K25)</f>
        <v>0</v>
      </c>
      <c r="L9" s="98">
        <f>IF(Section3!$C$19="No",K9*(1+Section3!$C$22),L25)</f>
        <v>0</v>
      </c>
      <c r="M9" s="98">
        <f>IF(Section3!$C$19="No",L9*(1+Section3!$C$22),M25)</f>
        <v>0</v>
      </c>
      <c r="N9" s="98">
        <f>IF(Section3!$C$19="No",M9*(1+Section3!$C$22),N25)</f>
        <v>0</v>
      </c>
      <c r="O9" s="98">
        <f>IF(Section3!$C$19="No",N9*(1+Section3!$C$22),O25)</f>
        <v>0</v>
      </c>
      <c r="P9" s="98">
        <f>IF(Section3!$C$19="No",O9*(1+Section3!$C$22),P25)</f>
        <v>0</v>
      </c>
      <c r="Q9" s="98">
        <f>IF(Section3!$C$19="No",P9*(1+Section3!$C$22),Q25)</f>
        <v>0</v>
      </c>
      <c r="R9" s="98">
        <f>IF(Section3!$C$19="No",Q9*(1+Section3!$C$22),R25)</f>
        <v>0</v>
      </c>
      <c r="S9" s="98">
        <f>IF(Section3!$C$19="No",R9*(1+Section3!$C$22),S25)</f>
        <v>0</v>
      </c>
      <c r="T9" s="98">
        <f>IF(Section3!$C$19="No",S9*(1+Section3!$C$22),T25)</f>
        <v>0</v>
      </c>
      <c r="U9" s="98">
        <f>IF(Section3!$C$19="No",T9*(1+Section3!$C$22),U25)</f>
        <v>0</v>
      </c>
      <c r="V9" s="98">
        <f>IF(Section3!$C$19="No",U9*(1+Section3!$C$22),V25)</f>
        <v>0</v>
      </c>
      <c r="W9" s="98">
        <f>IF(Section3!$C$19="No",V9*(1+Section3!$C$22),W25)</f>
        <v>0</v>
      </c>
      <c r="X9" s="98">
        <f>IF(Section3!$C$19="No",W9*(1+Section3!$C$22),X25)</f>
        <v>0</v>
      </c>
      <c r="Y9" s="98">
        <f>IF(Section3!$C$19="No",X9*(1+Section3!$C$22),Y25)</f>
        <v>0</v>
      </c>
      <c r="Z9" s="98">
        <f>IF(Section3!$C$19="No",Y9*(1+Section3!$C$22),Z25)</f>
        <v>0</v>
      </c>
      <c r="AA9" s="98">
        <f>IF(Section3!$C$19="No",Z9*(1+Section3!$C$22),AA25)</f>
        <v>0</v>
      </c>
      <c r="AB9" s="98">
        <f>IF(Section3!$C$19="No",AA9*(1+Section3!$C$22),AB25)</f>
        <v>0</v>
      </c>
      <c r="AC9" s="98">
        <f>IF(Section3!$C$19="No",AB9*(1+Section3!$C$22),AC25)</f>
        <v>0</v>
      </c>
      <c r="AD9" s="98">
        <f>IF(Section3!$C$19="No",AC9*(1+Section3!$C$22),AD25)</f>
        <v>0</v>
      </c>
      <c r="AE9" s="98">
        <f>IF(Section3!$C$19="No",AD9*(1+Section3!$C$22),AE25)</f>
        <v>0</v>
      </c>
      <c r="AF9" s="98">
        <f>IF(Section3!$C$19="No",AE9*(1+Section3!$C$22),AF25)</f>
        <v>0</v>
      </c>
      <c r="AG9" s="98">
        <f>IF(Section3!$C$19="No",AF9*(1+Section3!$C$22),AG25)</f>
        <v>0</v>
      </c>
      <c r="AH9" s="98">
        <f>IF(Section3!$C$19="No",AG9*(1+Section3!$C$22),AH25)</f>
        <v>0</v>
      </c>
      <c r="AI9" s="98">
        <f>IF(Section3!$C$19="No",AH9*(1+Section3!$C$22),AI25)</f>
        <v>0</v>
      </c>
      <c r="AJ9" s="98">
        <f>IF(Section3!$C$19="No",AI9*(1+Section3!$C$22),AJ25)</f>
        <v>0</v>
      </c>
      <c r="AK9" s="98">
        <f>IF(Section3!$C$19="No",AJ9*(1+Section3!$C$22),AK25)</f>
        <v>0</v>
      </c>
      <c r="AL9" s="57"/>
    </row>
    <row r="10" spans="1:38" ht="16.149999999999999" customHeight="1" x14ac:dyDescent="0.2">
      <c r="A10" s="57"/>
      <c r="B10" s="51" t="s">
        <v>17</v>
      </c>
      <c r="C10" s="98">
        <f>Section3!C10</f>
        <v>0</v>
      </c>
      <c r="D10" s="98">
        <f>IF(Section3!$C$19="No",C10*(1+Section3!$C$22),D26)</f>
        <v>0</v>
      </c>
      <c r="E10" s="98">
        <f>IF(Section3!$C$19="No",D10*(1+Section3!$C$22),E26)</f>
        <v>0</v>
      </c>
      <c r="F10" s="98">
        <f>IF(Section3!$C$19="No",E10*(1+Section3!$C$22),F26)</f>
        <v>0</v>
      </c>
      <c r="G10" s="98">
        <f>IF(Section3!$C$19="No",F10*(1+Section3!$C$22),G26)</f>
        <v>0</v>
      </c>
      <c r="H10" s="98">
        <f>IF(Section3!$C$19="No",G10*(1+Section3!$C$22),H26)</f>
        <v>0</v>
      </c>
      <c r="I10" s="98">
        <f>IF(Section3!$C$19="No",H10*(1+Section3!$C$22),I26)</f>
        <v>0</v>
      </c>
      <c r="J10" s="98">
        <f>IF(Section3!$C$19="No",I10*(1+Section3!$C$22),J26)</f>
        <v>0</v>
      </c>
      <c r="K10" s="98">
        <f>IF(Section3!$C$19="No",J10*(1+Section3!$C$22),K26)</f>
        <v>0</v>
      </c>
      <c r="L10" s="98">
        <f>IF(Section3!$C$19="No",K10*(1+Section3!$C$22),L26)</f>
        <v>0</v>
      </c>
      <c r="M10" s="98">
        <f>IF(Section3!$C$19="No",L10*(1+Section3!$C$22),M26)</f>
        <v>0</v>
      </c>
      <c r="N10" s="98">
        <f>IF(Section3!$C$19="No",M10*(1+Section3!$C$22),N26)</f>
        <v>0</v>
      </c>
      <c r="O10" s="98">
        <f>IF(Section3!$C$19="No",N10*(1+Section3!$C$22),O26)</f>
        <v>0</v>
      </c>
      <c r="P10" s="98">
        <f>IF(Section3!$C$19="No",O10*(1+Section3!$C$22),P26)</f>
        <v>0</v>
      </c>
      <c r="Q10" s="98">
        <f>IF(Section3!$C$19="No",P10*(1+Section3!$C$22),Q26)</f>
        <v>0</v>
      </c>
      <c r="R10" s="98">
        <f>IF(Section3!$C$19="No",Q10*(1+Section3!$C$22),R26)</f>
        <v>0</v>
      </c>
      <c r="S10" s="98">
        <f>IF(Section3!$C$19="No",R10*(1+Section3!$C$22),S26)</f>
        <v>0</v>
      </c>
      <c r="T10" s="98">
        <f>IF(Section3!$C$19="No",S10*(1+Section3!$C$22),T26)</f>
        <v>0</v>
      </c>
      <c r="U10" s="98">
        <f>IF(Section3!$C$19="No",T10*(1+Section3!$C$22),U26)</f>
        <v>0</v>
      </c>
      <c r="V10" s="98">
        <f>IF(Section3!$C$19="No",U10*(1+Section3!$C$22),V26)</f>
        <v>0</v>
      </c>
      <c r="W10" s="98">
        <f>IF(Section3!$C$19="No",V10*(1+Section3!$C$22),W26)</f>
        <v>0</v>
      </c>
      <c r="X10" s="98">
        <f>IF(Section3!$C$19="No",W10*(1+Section3!$C$22),X26)</f>
        <v>0</v>
      </c>
      <c r="Y10" s="98">
        <f>IF(Section3!$C$19="No",X10*(1+Section3!$C$22),Y26)</f>
        <v>0</v>
      </c>
      <c r="Z10" s="98">
        <f>IF(Section3!$C$19="No",Y10*(1+Section3!$C$22),Z26)</f>
        <v>0</v>
      </c>
      <c r="AA10" s="98">
        <f>IF(Section3!$C$19="No",Z10*(1+Section3!$C$22),AA26)</f>
        <v>0</v>
      </c>
      <c r="AB10" s="98">
        <f>IF(Section3!$C$19="No",AA10*(1+Section3!$C$22),AB26)</f>
        <v>0</v>
      </c>
      <c r="AC10" s="98">
        <f>IF(Section3!$C$19="No",AB10*(1+Section3!$C$22),AC26)</f>
        <v>0</v>
      </c>
      <c r="AD10" s="98">
        <f>IF(Section3!$C$19="No",AC10*(1+Section3!$C$22),AD26)</f>
        <v>0</v>
      </c>
      <c r="AE10" s="98">
        <f>IF(Section3!$C$19="No",AD10*(1+Section3!$C$22),AE26)</f>
        <v>0</v>
      </c>
      <c r="AF10" s="98">
        <f>IF(Section3!$C$19="No",AE10*(1+Section3!$C$22),AF26)</f>
        <v>0</v>
      </c>
      <c r="AG10" s="98">
        <f>IF(Section3!$C$19="No",AF10*(1+Section3!$C$22),AG26)</f>
        <v>0</v>
      </c>
      <c r="AH10" s="98">
        <f>IF(Section3!$C$19="No",AG10*(1+Section3!$C$22),AH26)</f>
        <v>0</v>
      </c>
      <c r="AI10" s="98">
        <f>IF(Section3!$C$19="No",AH10*(1+Section3!$C$22),AI26)</f>
        <v>0</v>
      </c>
      <c r="AJ10" s="98">
        <f>IF(Section3!$C$19="No",AI10*(1+Section3!$C$22),AJ26)</f>
        <v>0</v>
      </c>
      <c r="AK10" s="98">
        <f>IF(Section3!$C$19="No",AJ10*(1+Section3!$C$22),AK26)</f>
        <v>0</v>
      </c>
      <c r="AL10" s="57"/>
    </row>
    <row r="11" spans="1:38" ht="16.149999999999999" customHeight="1" x14ac:dyDescent="0.2">
      <c r="A11" s="57"/>
      <c r="B11" s="51" t="s">
        <v>14</v>
      </c>
      <c r="C11" s="98">
        <f>Section3!C11</f>
        <v>0</v>
      </c>
      <c r="D11" s="98">
        <f>IF(Section3!$C$19="No",C11*(1+Section3!$C$22),D27)</f>
        <v>0</v>
      </c>
      <c r="E11" s="98">
        <f>IF(Section3!$C$19="No",D11*(1+Section3!$C$22),E27)</f>
        <v>0</v>
      </c>
      <c r="F11" s="98">
        <f>IF(Section3!$C$19="No",E11*(1+Section3!$C$22),F27)</f>
        <v>0</v>
      </c>
      <c r="G11" s="98">
        <f>IF(Section3!$C$19="No",F11*(1+Section3!$C$22),G27)</f>
        <v>0</v>
      </c>
      <c r="H11" s="98">
        <f>IF(Section3!$C$19="No",G11*(1+Section3!$C$22),H27)</f>
        <v>0</v>
      </c>
      <c r="I11" s="98">
        <f>IF(Section3!$C$19="No",H11*(1+Section3!$C$22),I27)</f>
        <v>0</v>
      </c>
      <c r="J11" s="98">
        <f>IF(Section3!$C$19="No",I11*(1+Section3!$C$22),J27)</f>
        <v>0</v>
      </c>
      <c r="K11" s="98">
        <f>IF(Section3!$C$19="No",J11*(1+Section3!$C$22),K27)</f>
        <v>0</v>
      </c>
      <c r="L11" s="98">
        <f>IF(Section3!$C$19="No",K11*(1+Section3!$C$22),L27)</f>
        <v>0</v>
      </c>
      <c r="M11" s="98">
        <f>IF(Section3!$C$19="No",L11*(1+Section3!$C$22),M27)</f>
        <v>0</v>
      </c>
      <c r="N11" s="98">
        <f>IF(Section3!$C$19="No",M11*(1+Section3!$C$22),N27)</f>
        <v>0</v>
      </c>
      <c r="O11" s="98">
        <f>IF(Section3!$C$19="No",N11*(1+Section3!$C$22),O27)</f>
        <v>0</v>
      </c>
      <c r="P11" s="98">
        <f>IF(Section3!$C$19="No",O11*(1+Section3!$C$22),P27)</f>
        <v>0</v>
      </c>
      <c r="Q11" s="98">
        <f>IF(Section3!$C$19="No",P11*(1+Section3!$C$22),Q27)</f>
        <v>0</v>
      </c>
      <c r="R11" s="98">
        <f>IF(Section3!$C$19="No",Q11*(1+Section3!$C$22),R27)</f>
        <v>0</v>
      </c>
      <c r="S11" s="98">
        <f>IF(Section3!$C$19="No",R11*(1+Section3!$C$22),S27)</f>
        <v>0</v>
      </c>
      <c r="T11" s="98">
        <f>IF(Section3!$C$19="No",S11*(1+Section3!$C$22),T27)</f>
        <v>0</v>
      </c>
      <c r="U11" s="98">
        <f>IF(Section3!$C$19="No",T11*(1+Section3!$C$22),U27)</f>
        <v>0</v>
      </c>
      <c r="V11" s="98">
        <f>IF(Section3!$C$19="No",U11*(1+Section3!$C$22),V27)</f>
        <v>0</v>
      </c>
      <c r="W11" s="98">
        <f>IF(Section3!$C$19="No",V11*(1+Section3!$C$22),W27)</f>
        <v>0</v>
      </c>
      <c r="X11" s="98">
        <f>IF(Section3!$C$19="No",W11*(1+Section3!$C$22),X27)</f>
        <v>0</v>
      </c>
      <c r="Y11" s="98">
        <f>IF(Section3!$C$19="No",X11*(1+Section3!$C$22),Y27)</f>
        <v>0</v>
      </c>
      <c r="Z11" s="98">
        <f>IF(Section3!$C$19="No",Y11*(1+Section3!$C$22),Z27)</f>
        <v>0</v>
      </c>
      <c r="AA11" s="98">
        <f>IF(Section3!$C$19="No",Z11*(1+Section3!$C$22),AA27)</f>
        <v>0</v>
      </c>
      <c r="AB11" s="98">
        <f>IF(Section3!$C$19="No",AA11*(1+Section3!$C$22),AB27)</f>
        <v>0</v>
      </c>
      <c r="AC11" s="98">
        <f>IF(Section3!$C$19="No",AB11*(1+Section3!$C$22),AC27)</f>
        <v>0</v>
      </c>
      <c r="AD11" s="98">
        <f>IF(Section3!$C$19="No",AC11*(1+Section3!$C$22),AD27)</f>
        <v>0</v>
      </c>
      <c r="AE11" s="98">
        <f>IF(Section3!$C$19="No",AD11*(1+Section3!$C$22),AE27)</f>
        <v>0</v>
      </c>
      <c r="AF11" s="98">
        <f>IF(Section3!$C$19="No",AE11*(1+Section3!$C$22),AF27)</f>
        <v>0</v>
      </c>
      <c r="AG11" s="98">
        <f>IF(Section3!$C$19="No",AF11*(1+Section3!$C$22),AG27)</f>
        <v>0</v>
      </c>
      <c r="AH11" s="98">
        <f>IF(Section3!$C$19="No",AG11*(1+Section3!$C$22),AH27)</f>
        <v>0</v>
      </c>
      <c r="AI11" s="98">
        <f>IF(Section3!$C$19="No",AH11*(1+Section3!$C$22),AI27)</f>
        <v>0</v>
      </c>
      <c r="AJ11" s="98">
        <f>IF(Section3!$C$19="No",AI11*(1+Section3!$C$22),AJ27)</f>
        <v>0</v>
      </c>
      <c r="AK11" s="98">
        <f>IF(Section3!$C$19="No",AJ11*(1+Section3!$C$22),AK27)</f>
        <v>0</v>
      </c>
      <c r="AL11" s="57"/>
    </row>
    <row r="12" spans="1:38" ht="16.149999999999999" customHeight="1" x14ac:dyDescent="0.2">
      <c r="A12" s="57"/>
      <c r="B12" s="51" t="s">
        <v>15</v>
      </c>
      <c r="C12" s="98">
        <f>Section3!C12</f>
        <v>0</v>
      </c>
      <c r="D12" s="98">
        <f>IF(Section3!$C$19="No",C12*(1+Section3!$C$22),D28)</f>
        <v>0</v>
      </c>
      <c r="E12" s="98">
        <f>IF(Section3!$C$19="No",D12*(1+Section3!$C$22),E28)</f>
        <v>0</v>
      </c>
      <c r="F12" s="98">
        <f>IF(Section3!$C$19="No",E12*(1+Section3!$C$22),F28)</f>
        <v>0</v>
      </c>
      <c r="G12" s="98">
        <f>IF(Section3!$C$19="No",F12*(1+Section3!$C$22),G28)</f>
        <v>0</v>
      </c>
      <c r="H12" s="98">
        <f>IF(Section3!$C$19="No",G12*(1+Section3!$C$22),H28)</f>
        <v>0</v>
      </c>
      <c r="I12" s="98">
        <f>IF(Section3!$C$19="No",H12*(1+Section3!$C$22),I28)</f>
        <v>0</v>
      </c>
      <c r="J12" s="98">
        <f>IF(Section3!$C$19="No",I12*(1+Section3!$C$22),J28)</f>
        <v>0</v>
      </c>
      <c r="K12" s="98">
        <f>IF(Section3!$C$19="No",J12*(1+Section3!$C$22),K28)</f>
        <v>0</v>
      </c>
      <c r="L12" s="98">
        <f>IF(Section3!$C$19="No",K12*(1+Section3!$C$22),L28)</f>
        <v>0</v>
      </c>
      <c r="M12" s="98">
        <f>IF(Section3!$C$19="No",L12*(1+Section3!$C$22),M28)</f>
        <v>0</v>
      </c>
      <c r="N12" s="98">
        <f>IF(Section3!$C$19="No",M12*(1+Section3!$C$22),N28)</f>
        <v>0</v>
      </c>
      <c r="O12" s="98">
        <f>IF(Section3!$C$19="No",N12*(1+Section3!$C$22),O28)</f>
        <v>0</v>
      </c>
      <c r="P12" s="98">
        <f>IF(Section3!$C$19="No",O12*(1+Section3!$C$22),P28)</f>
        <v>0</v>
      </c>
      <c r="Q12" s="98">
        <f>IF(Section3!$C$19="No",P12*(1+Section3!$C$22),Q28)</f>
        <v>0</v>
      </c>
      <c r="R12" s="98">
        <f>IF(Section3!$C$19="No",Q12*(1+Section3!$C$22),R28)</f>
        <v>0</v>
      </c>
      <c r="S12" s="98">
        <f>IF(Section3!$C$19="No",R12*(1+Section3!$C$22),S28)</f>
        <v>0</v>
      </c>
      <c r="T12" s="98">
        <f>IF(Section3!$C$19="No",S12*(1+Section3!$C$22),T28)</f>
        <v>0</v>
      </c>
      <c r="U12" s="98">
        <f>IF(Section3!$C$19="No",T12*(1+Section3!$C$22),U28)</f>
        <v>0</v>
      </c>
      <c r="V12" s="98">
        <f>IF(Section3!$C$19="No",U12*(1+Section3!$C$22),V28)</f>
        <v>0</v>
      </c>
      <c r="W12" s="98">
        <f>IF(Section3!$C$19="No",V12*(1+Section3!$C$22),W28)</f>
        <v>0</v>
      </c>
      <c r="X12" s="98">
        <f>IF(Section3!$C$19="No",W12*(1+Section3!$C$22),X28)</f>
        <v>0</v>
      </c>
      <c r="Y12" s="98">
        <f>IF(Section3!$C$19="No",X12*(1+Section3!$C$22),Y28)</f>
        <v>0</v>
      </c>
      <c r="Z12" s="98">
        <f>IF(Section3!$C$19="No",Y12*(1+Section3!$C$22),Z28)</f>
        <v>0</v>
      </c>
      <c r="AA12" s="98">
        <f>IF(Section3!$C$19="No",Z12*(1+Section3!$C$22),AA28)</f>
        <v>0</v>
      </c>
      <c r="AB12" s="98">
        <f>IF(Section3!$C$19="No",AA12*(1+Section3!$C$22),AB28)</f>
        <v>0</v>
      </c>
      <c r="AC12" s="98">
        <f>IF(Section3!$C$19="No",AB12*(1+Section3!$C$22),AC28)</f>
        <v>0</v>
      </c>
      <c r="AD12" s="98">
        <f>IF(Section3!$C$19="No",AC12*(1+Section3!$C$22),AD28)</f>
        <v>0</v>
      </c>
      <c r="AE12" s="98">
        <f>IF(Section3!$C$19="No",AD12*(1+Section3!$C$22),AE28)</f>
        <v>0</v>
      </c>
      <c r="AF12" s="98">
        <f>IF(Section3!$C$19="No",AE12*(1+Section3!$C$22),AF28)</f>
        <v>0</v>
      </c>
      <c r="AG12" s="98">
        <f>IF(Section3!$C$19="No",AF12*(1+Section3!$C$22),AG28)</f>
        <v>0</v>
      </c>
      <c r="AH12" s="98">
        <f>IF(Section3!$C$19="No",AG12*(1+Section3!$C$22),AH28)</f>
        <v>0</v>
      </c>
      <c r="AI12" s="98">
        <f>IF(Section3!$C$19="No",AH12*(1+Section3!$C$22),AI28)</f>
        <v>0</v>
      </c>
      <c r="AJ12" s="98">
        <f>IF(Section3!$C$19="No",AI12*(1+Section3!$C$22),AJ28)</f>
        <v>0</v>
      </c>
      <c r="AK12" s="98">
        <f>IF(Section3!$C$19="No",AJ12*(1+Section3!$C$22),AK28)</f>
        <v>0</v>
      </c>
      <c r="AL12" s="57"/>
    </row>
    <row r="13" spans="1:38" ht="16.149999999999999" customHeight="1" x14ac:dyDescent="0.2">
      <c r="A13" s="57"/>
      <c r="B13" s="51" t="s">
        <v>22</v>
      </c>
      <c r="C13" s="98">
        <f>Section3!C13</f>
        <v>0</v>
      </c>
      <c r="D13" s="98">
        <f>IF(Section3!$C$19="No",C13*(1+Section3!$C$23),D29)</f>
        <v>0</v>
      </c>
      <c r="E13" s="98">
        <f>IF(Section3!$C$19="No",D13*(1+Section3!$C$23),E29)</f>
        <v>0</v>
      </c>
      <c r="F13" s="98">
        <f>IF(Section3!$C$19="No",E13*(1+Section3!$C$23),F29)</f>
        <v>0</v>
      </c>
      <c r="G13" s="98">
        <f>IF(Section3!$C$19="No",F13*(1+Section3!$C$23),G29)</f>
        <v>0</v>
      </c>
      <c r="H13" s="98">
        <f>IF(Section3!$C$19="No",G13*(1+Section3!$C$23),H29)</f>
        <v>0</v>
      </c>
      <c r="I13" s="98">
        <f>IF(Section3!$C$19="No",H13*(1+Section3!$C$23),I29)</f>
        <v>0</v>
      </c>
      <c r="J13" s="98">
        <f>IF(Section3!$C$19="No",I13*(1+Section3!$C$23),J29)</f>
        <v>0</v>
      </c>
      <c r="K13" s="98">
        <f>IF(Section3!$C$19="No",J13*(1+Section3!$C$23),K29)</f>
        <v>0</v>
      </c>
      <c r="L13" s="98">
        <f>IF(Section3!$C$19="No",K13*(1+Section3!$C$23),L29)</f>
        <v>0</v>
      </c>
      <c r="M13" s="98">
        <f>IF(Section3!$C$19="No",L13*(1+Section3!$C$23),M29)</f>
        <v>0</v>
      </c>
      <c r="N13" s="98">
        <f>IF(Section3!$C$19="No",M13*(1+Section3!$C$23),N29)</f>
        <v>0</v>
      </c>
      <c r="O13" s="98">
        <f>IF(Section3!$C$19="No",N13*(1+Section3!$C$23),O29)</f>
        <v>0</v>
      </c>
      <c r="P13" s="98">
        <f>IF(Section3!$C$19="No",O13*(1+Section3!$C$23),P29)</f>
        <v>0</v>
      </c>
      <c r="Q13" s="98">
        <f>IF(Section3!$C$19="No",P13*(1+Section3!$C$23),Q29)</f>
        <v>0</v>
      </c>
      <c r="R13" s="98">
        <f>IF(Section3!$C$19="No",Q13*(1+Section3!$C$23),R29)</f>
        <v>0</v>
      </c>
      <c r="S13" s="98">
        <f>IF(Section3!$C$19="No",R13*(1+Section3!$C$23),S29)</f>
        <v>0</v>
      </c>
      <c r="T13" s="98">
        <f>IF(Section3!$C$19="No",S13*(1+Section3!$C$23),T29)</f>
        <v>0</v>
      </c>
      <c r="U13" s="98">
        <f>IF(Section3!$C$19="No",T13*(1+Section3!$C$23),U29)</f>
        <v>0</v>
      </c>
      <c r="V13" s="98">
        <f>IF(Section3!$C$19="No",U13*(1+Section3!$C$23),V29)</f>
        <v>0</v>
      </c>
      <c r="W13" s="98">
        <f>IF(Section3!$C$19="No",V13*(1+Section3!$C$23),W29)</f>
        <v>0</v>
      </c>
      <c r="X13" s="98">
        <f>IF(Section3!$C$19="No",W13*(1+Section3!$C$23),X29)</f>
        <v>0</v>
      </c>
      <c r="Y13" s="98">
        <f>IF(Section3!$C$19="No",X13*(1+Section3!$C$23),Y29)</f>
        <v>0</v>
      </c>
      <c r="Z13" s="98">
        <f>IF(Section3!$C$19="No",Y13*(1+Section3!$C$23),Z29)</f>
        <v>0</v>
      </c>
      <c r="AA13" s="98">
        <f>IF(Section3!$C$19="No",Z13*(1+Section3!$C$23),AA29)</f>
        <v>0</v>
      </c>
      <c r="AB13" s="98">
        <f>IF(Section3!$C$19="No",AA13*(1+Section3!$C$23),AB29)</f>
        <v>0</v>
      </c>
      <c r="AC13" s="98">
        <f>IF(Section3!$C$19="No",AB13*(1+Section3!$C$23),AC29)</f>
        <v>0</v>
      </c>
      <c r="AD13" s="98">
        <f>IF(Section3!$C$19="No",AC13*(1+Section3!$C$23),AD29)</f>
        <v>0</v>
      </c>
      <c r="AE13" s="98">
        <f>IF(Section3!$C$19="No",AD13*(1+Section3!$C$23),AE29)</f>
        <v>0</v>
      </c>
      <c r="AF13" s="98">
        <f>IF(Section3!$C$19="No",AE13*(1+Section3!$C$23),AF29)</f>
        <v>0</v>
      </c>
      <c r="AG13" s="98">
        <f>IF(Section3!$C$19="No",AF13*(1+Section3!$C$23),AG29)</f>
        <v>0</v>
      </c>
      <c r="AH13" s="98">
        <f>IF(Section3!$C$19="No",AG13*(1+Section3!$C$23),AH29)</f>
        <v>0</v>
      </c>
      <c r="AI13" s="98">
        <f>IF(Section3!$C$19="No",AH13*(1+Section3!$C$23),AI29)</f>
        <v>0</v>
      </c>
      <c r="AJ13" s="98">
        <f>IF(Section3!$C$19="No",AI13*(1+Section3!$C$23),AJ29)</f>
        <v>0</v>
      </c>
      <c r="AK13" s="98">
        <f>IF(Section3!$C$19="No",AJ13*(1+Section3!$C$23),AK29)</f>
        <v>0</v>
      </c>
      <c r="AL13" s="57"/>
    </row>
    <row r="14" spans="1:38" ht="16.149999999999999" customHeight="1" x14ac:dyDescent="0.2">
      <c r="A14" s="57"/>
      <c r="B14" s="51" t="s">
        <v>16</v>
      </c>
      <c r="C14" s="98">
        <f>Section3!C14</f>
        <v>0</v>
      </c>
      <c r="D14" s="98">
        <f>IF(Section3!$C$19="No",C14*(1+Section3!$C$24),D30)</f>
        <v>0</v>
      </c>
      <c r="E14" s="98">
        <f>IF(Section3!$C$19="No",D14*(1+Section3!$C$24),E30)</f>
        <v>0</v>
      </c>
      <c r="F14" s="98">
        <f>IF(Section3!$C$19="No",E14*(1+Section3!$C$24),F30)</f>
        <v>0</v>
      </c>
      <c r="G14" s="98">
        <f>IF(Section3!$C$19="No",F14*(1+Section3!$C$24),G30)</f>
        <v>0</v>
      </c>
      <c r="H14" s="98">
        <f>IF(Section3!$C$19="No",G14*(1+Section3!$C$24),H30)</f>
        <v>0</v>
      </c>
      <c r="I14" s="98">
        <f>IF(Section3!$C$19="No",H14*(1+Section3!$C$24),I30)</f>
        <v>0</v>
      </c>
      <c r="J14" s="98">
        <f>IF(Section3!$C$19="No",I14*(1+Section3!$C$24),J30)</f>
        <v>0</v>
      </c>
      <c r="K14" s="98">
        <f>IF(Section3!$C$19="No",J14*(1+Section3!$C$24),K30)</f>
        <v>0</v>
      </c>
      <c r="L14" s="98">
        <f>IF(Section3!$C$19="No",K14*(1+Section3!$C$24),L30)</f>
        <v>0</v>
      </c>
      <c r="M14" s="98">
        <f>IF(Section3!$C$19="No",L14*(1+Section3!$C$24),M30)</f>
        <v>0</v>
      </c>
      <c r="N14" s="98">
        <f>IF(Section3!$C$19="No",M14*(1+Section3!$C$24),N30)</f>
        <v>0</v>
      </c>
      <c r="O14" s="98">
        <f>IF(Section3!$C$19="No",N14*(1+Section3!$C$24),O30)</f>
        <v>0</v>
      </c>
      <c r="P14" s="98">
        <f>IF(Section3!$C$19="No",O14*(1+Section3!$C$24),P30)</f>
        <v>0</v>
      </c>
      <c r="Q14" s="98">
        <f>IF(Section3!$C$19="No",P14*(1+Section3!$C$24),Q30)</f>
        <v>0</v>
      </c>
      <c r="R14" s="98">
        <f>IF(Section3!$C$19="No",Q14*(1+Section3!$C$24),R30)</f>
        <v>0</v>
      </c>
      <c r="S14" s="98">
        <f>IF(Section3!$C$19="No",R14*(1+Section3!$C$24),S30)</f>
        <v>0</v>
      </c>
      <c r="T14" s="98">
        <f>IF(Section3!$C$19="No",S14*(1+Section3!$C$24),T30)</f>
        <v>0</v>
      </c>
      <c r="U14" s="98">
        <f>IF(Section3!$C$19="No",T14*(1+Section3!$C$24),U30)</f>
        <v>0</v>
      </c>
      <c r="V14" s="98">
        <f>IF(Section3!$C$19="No",U14*(1+Section3!$C$24),V30)</f>
        <v>0</v>
      </c>
      <c r="W14" s="98">
        <f>IF(Section3!$C$19="No",V14*(1+Section3!$C$24),W30)</f>
        <v>0</v>
      </c>
      <c r="X14" s="98">
        <f>IF(Section3!$C$19="No",W14*(1+Section3!$C$24),X30)</f>
        <v>0</v>
      </c>
      <c r="Y14" s="98">
        <f>IF(Section3!$C$19="No",X14*(1+Section3!$C$24),Y30)</f>
        <v>0</v>
      </c>
      <c r="Z14" s="98">
        <f>IF(Section3!$C$19="No",Y14*(1+Section3!$C$24),Z30)</f>
        <v>0</v>
      </c>
      <c r="AA14" s="98">
        <f>IF(Section3!$C$19="No",Z14*(1+Section3!$C$24),AA30)</f>
        <v>0</v>
      </c>
      <c r="AB14" s="98">
        <f>IF(Section3!$C$19="No",AA14*(1+Section3!$C$24),AB30)</f>
        <v>0</v>
      </c>
      <c r="AC14" s="98">
        <f>IF(Section3!$C$19="No",AB14*(1+Section3!$C$24),AC30)</f>
        <v>0</v>
      </c>
      <c r="AD14" s="98">
        <f>IF(Section3!$C$19="No",AC14*(1+Section3!$C$24),AD30)</f>
        <v>0</v>
      </c>
      <c r="AE14" s="98">
        <f>IF(Section3!$C$19="No",AD14*(1+Section3!$C$24),AE30)</f>
        <v>0</v>
      </c>
      <c r="AF14" s="98">
        <f>IF(Section3!$C$19="No",AE14*(1+Section3!$C$24),AF30)</f>
        <v>0</v>
      </c>
      <c r="AG14" s="98">
        <f>IF(Section3!$C$19="No",AF14*(1+Section3!$C$24),AG30)</f>
        <v>0</v>
      </c>
      <c r="AH14" s="98">
        <f>IF(Section3!$C$19="No",AG14*(1+Section3!$C$24),AH30)</f>
        <v>0</v>
      </c>
      <c r="AI14" s="98">
        <f>IF(Section3!$C$19="No",AH14*(1+Section3!$C$24),AI30)</f>
        <v>0</v>
      </c>
      <c r="AJ14" s="98">
        <f>IF(Section3!$C$19="No",AI14*(1+Section3!$C$24),AJ30)</f>
        <v>0</v>
      </c>
      <c r="AK14" s="98">
        <f>IF(Section3!$C$19="No",AJ14*(1+Section3!$C$24),AK30)</f>
        <v>0</v>
      </c>
      <c r="AL14" s="57"/>
    </row>
    <row r="15" spans="1:38" ht="16.149999999999999" customHeight="1" thickBot="1" x14ac:dyDescent="0.25">
      <c r="A15" s="57"/>
      <c r="B15" s="51" t="s">
        <v>52</v>
      </c>
      <c r="C15" s="98">
        <f>Section3!C15</f>
        <v>0</v>
      </c>
      <c r="D15" s="98">
        <f>IF(Section3!$C$19="No",C15*(1+Section3!$C$25),D31)</f>
        <v>0</v>
      </c>
      <c r="E15" s="98">
        <f>IF(Section3!$C$19="No",D15*(1+Section3!$C$25),E31)</f>
        <v>0</v>
      </c>
      <c r="F15" s="98">
        <f>IF(Section3!$C$19="No",E15*(1+Section3!$C$25),F31)</f>
        <v>0</v>
      </c>
      <c r="G15" s="98">
        <f>IF(Section3!$C$19="No",F15*(1+Section3!$C$25),G31)</f>
        <v>0</v>
      </c>
      <c r="H15" s="98">
        <f>IF(Section3!$C$19="No",G15*(1+Section3!$C$25),H31)</f>
        <v>0</v>
      </c>
      <c r="I15" s="98">
        <f>IF(Section3!$C$19="No",H15*(1+Section3!$C$25),I31)</f>
        <v>0</v>
      </c>
      <c r="J15" s="98">
        <f>IF(Section3!$C$19="No",I15*(1+Section3!$C$25),J31)</f>
        <v>0</v>
      </c>
      <c r="K15" s="98">
        <f>IF(Section3!$C$19="No",J15*(1+Section3!$C$25),K31)</f>
        <v>0</v>
      </c>
      <c r="L15" s="98">
        <f>IF(Section3!$C$19="No",K15*(1+Section3!$C$25),L31)</f>
        <v>0</v>
      </c>
      <c r="M15" s="98">
        <f>IF(Section3!$C$19="No",L15*(1+Section3!$C$25),M31)</f>
        <v>0</v>
      </c>
      <c r="N15" s="98">
        <f>IF(Section3!$C$19="No",M15*(1+Section3!$C$25),N31)</f>
        <v>0</v>
      </c>
      <c r="O15" s="98">
        <f>IF(Section3!$C$19="No",N15*(1+Section3!$C$25),O31)</f>
        <v>0</v>
      </c>
      <c r="P15" s="98">
        <f>IF(Section3!$C$19="No",O15*(1+Section3!$C$25),P31)</f>
        <v>0</v>
      </c>
      <c r="Q15" s="98">
        <f>IF(Section3!$C$19="No",P15*(1+Section3!$C$25),Q31)</f>
        <v>0</v>
      </c>
      <c r="R15" s="98">
        <f>IF(Section3!$C$19="No",Q15*(1+Section3!$C$25),R31)</f>
        <v>0</v>
      </c>
      <c r="S15" s="98">
        <f>IF(Section3!$C$19="No",R15*(1+Section3!$C$25),S31)</f>
        <v>0</v>
      </c>
      <c r="T15" s="98">
        <f>IF(Section3!$C$19="No",S15*(1+Section3!$C$25),T31)</f>
        <v>0</v>
      </c>
      <c r="U15" s="98">
        <f>IF(Section3!$C$19="No",T15*(1+Section3!$C$25),U31)</f>
        <v>0</v>
      </c>
      <c r="V15" s="98">
        <f>IF(Section3!$C$19="No",U15*(1+Section3!$C$25),V31)</f>
        <v>0</v>
      </c>
      <c r="W15" s="98">
        <f>IF(Section3!$C$19="No",V15*(1+Section3!$C$25),W31)</f>
        <v>0</v>
      </c>
      <c r="X15" s="98">
        <f>IF(Section3!$C$19="No",W15*(1+Section3!$C$25),X31)</f>
        <v>0</v>
      </c>
      <c r="Y15" s="98">
        <f>IF(Section3!$C$19="No",X15*(1+Section3!$C$25),Y31)</f>
        <v>0</v>
      </c>
      <c r="Z15" s="98">
        <f>IF(Section3!$C$19="No",Y15*(1+Section3!$C$25),Z31)</f>
        <v>0</v>
      </c>
      <c r="AA15" s="98">
        <f>IF(Section3!$C$19="No",Z15*(1+Section3!$C$25),AA31)</f>
        <v>0</v>
      </c>
      <c r="AB15" s="98">
        <f>IF(Section3!$C$19="No",AA15*(1+Section3!$C$25),AB31)</f>
        <v>0</v>
      </c>
      <c r="AC15" s="98">
        <f>IF(Section3!$C$19="No",AB15*(1+Section3!$C$25),AC31)</f>
        <v>0</v>
      </c>
      <c r="AD15" s="98">
        <f>IF(Section3!$C$19="No",AC15*(1+Section3!$C$25),AD31)</f>
        <v>0</v>
      </c>
      <c r="AE15" s="98">
        <f>IF(Section3!$C$19="No",AD15*(1+Section3!$C$25),AE31)</f>
        <v>0</v>
      </c>
      <c r="AF15" s="98">
        <f>IF(Section3!$C$19="No",AE15*(1+Section3!$C$25),AF31)</f>
        <v>0</v>
      </c>
      <c r="AG15" s="98">
        <f>IF(Section3!$C$19="No",AF15*(1+Section3!$C$25),AG31)</f>
        <v>0</v>
      </c>
      <c r="AH15" s="98">
        <f>IF(Section3!$C$19="No",AG15*(1+Section3!$C$25),AH31)</f>
        <v>0</v>
      </c>
      <c r="AI15" s="98">
        <f>IF(Section3!$C$19="No",AH15*(1+Section3!$C$25),AI31)</f>
        <v>0</v>
      </c>
      <c r="AJ15" s="98">
        <f>IF(Section3!$C$19="No",AI15*(1+Section3!$C$25),AJ31)</f>
        <v>0</v>
      </c>
      <c r="AK15" s="98">
        <f>IF(Section3!$C$19="No",AJ15*(1+Section3!$C$25),AK31)</f>
        <v>0</v>
      </c>
      <c r="AL15" s="57"/>
    </row>
    <row r="16" spans="1:38" ht="16.149999999999999" customHeight="1" thickBot="1" x14ac:dyDescent="0.25">
      <c r="A16" s="57"/>
      <c r="B16" s="53" t="s">
        <v>120</v>
      </c>
      <c r="C16" s="54">
        <f>SUM(C3:C15)</f>
        <v>14279.999999999998</v>
      </c>
      <c r="D16" s="54">
        <f t="shared" ref="D16:AK16" si="1">SUM(D3:D15)</f>
        <v>14594.159999999998</v>
      </c>
      <c r="E16" s="54">
        <f t="shared" si="1"/>
        <v>14915.231519999998</v>
      </c>
      <c r="F16" s="54">
        <f t="shared" si="1"/>
        <v>15243.366613439997</v>
      </c>
      <c r="G16" s="54">
        <f t="shared" si="1"/>
        <v>15578.720678935677</v>
      </c>
      <c r="H16" s="54">
        <f t="shared" si="1"/>
        <v>15921.452533872261</v>
      </c>
      <c r="I16" s="54">
        <f t="shared" si="1"/>
        <v>16271.724489617451</v>
      </c>
      <c r="J16" s="54">
        <f t="shared" si="1"/>
        <v>16629.702428389035</v>
      </c>
      <c r="K16" s="54">
        <f t="shared" si="1"/>
        <v>16995.555881813594</v>
      </c>
      <c r="L16" s="54">
        <f t="shared" si="1"/>
        <v>17369.458111213495</v>
      </c>
      <c r="M16" s="54">
        <f t="shared" si="1"/>
        <v>17751.586189660193</v>
      </c>
      <c r="N16" s="54">
        <f t="shared" si="1"/>
        <v>18142.121085832718</v>
      </c>
      <c r="O16" s="54">
        <f t="shared" si="1"/>
        <v>18541.247749721038</v>
      </c>
      <c r="P16" s="54">
        <f t="shared" si="1"/>
        <v>18949.1552002149</v>
      </c>
      <c r="Q16" s="54">
        <f t="shared" si="1"/>
        <v>19366.036614619628</v>
      </c>
      <c r="R16" s="54">
        <f t="shared" si="1"/>
        <v>19792.089420141259</v>
      </c>
      <c r="S16" s="54">
        <f t="shared" si="1"/>
        <v>20227.515387384366</v>
      </c>
      <c r="T16" s="54">
        <f t="shared" si="1"/>
        <v>20672.520725906823</v>
      </c>
      <c r="U16" s="54">
        <f t="shared" si="1"/>
        <v>21127.316181876773</v>
      </c>
      <c r="V16" s="54">
        <f t="shared" si="1"/>
        <v>21592.117137878064</v>
      </c>
      <c r="W16" s="54">
        <f t="shared" si="1"/>
        <v>22067.143714911381</v>
      </c>
      <c r="X16" s="54">
        <f t="shared" si="1"/>
        <v>22552.62087663943</v>
      </c>
      <c r="Y16" s="54">
        <f t="shared" si="1"/>
        <v>23048.778535925499</v>
      </c>
      <c r="Z16" s="54">
        <f t="shared" si="1"/>
        <v>23555.851663715861</v>
      </c>
      <c r="AA16" s="54">
        <f t="shared" si="1"/>
        <v>24074.080400317609</v>
      </c>
      <c r="AB16" s="54">
        <f t="shared" si="1"/>
        <v>24603.710169124595</v>
      </c>
      <c r="AC16" s="54">
        <f t="shared" si="1"/>
        <v>25144.991792845336</v>
      </c>
      <c r="AD16" s="54">
        <f t="shared" si="1"/>
        <v>25698.181612287935</v>
      </c>
      <c r="AE16" s="54">
        <f t="shared" si="1"/>
        <v>26263.54160775827</v>
      </c>
      <c r="AF16" s="54">
        <f t="shared" si="1"/>
        <v>26841.339523128954</v>
      </c>
      <c r="AG16" s="54">
        <f t="shared" si="1"/>
        <v>27431.848992637792</v>
      </c>
      <c r="AH16" s="54">
        <f t="shared" si="1"/>
        <v>28035.349670475822</v>
      </c>
      <c r="AI16" s="54">
        <f t="shared" si="1"/>
        <v>28652.127363226289</v>
      </c>
      <c r="AJ16" s="54">
        <f t="shared" si="1"/>
        <v>29282.474165217267</v>
      </c>
      <c r="AK16" s="54">
        <f t="shared" si="1"/>
        <v>29926.688596852047</v>
      </c>
      <c r="AL16" s="57"/>
    </row>
    <row r="17" spans="1:38" ht="16.149999999999999" customHeight="1" thickBot="1" x14ac:dyDescent="0.25">
      <c r="A17" s="57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7"/>
    </row>
    <row r="18" spans="1:38" ht="16.149999999999999" customHeight="1" thickBot="1" x14ac:dyDescent="0.3">
      <c r="A18" s="57"/>
      <c r="B18" s="63" t="s">
        <v>174</v>
      </c>
      <c r="C18" s="64">
        <v>1</v>
      </c>
      <c r="D18" s="64">
        <f>C18+1</f>
        <v>2</v>
      </c>
      <c r="E18" s="64">
        <f t="shared" ref="E18:AK18" si="2">D18+1</f>
        <v>3</v>
      </c>
      <c r="F18" s="64">
        <f t="shared" si="2"/>
        <v>4</v>
      </c>
      <c r="G18" s="64">
        <f t="shared" si="2"/>
        <v>5</v>
      </c>
      <c r="H18" s="64">
        <f t="shared" si="2"/>
        <v>6</v>
      </c>
      <c r="I18" s="64">
        <f t="shared" si="2"/>
        <v>7</v>
      </c>
      <c r="J18" s="64">
        <f t="shared" si="2"/>
        <v>8</v>
      </c>
      <c r="K18" s="64">
        <f t="shared" si="2"/>
        <v>9</v>
      </c>
      <c r="L18" s="64">
        <f t="shared" si="2"/>
        <v>10</v>
      </c>
      <c r="M18" s="64">
        <f t="shared" si="2"/>
        <v>11</v>
      </c>
      <c r="N18" s="64">
        <f t="shared" si="2"/>
        <v>12</v>
      </c>
      <c r="O18" s="64">
        <f t="shared" si="2"/>
        <v>13</v>
      </c>
      <c r="P18" s="64">
        <f t="shared" si="2"/>
        <v>14</v>
      </c>
      <c r="Q18" s="64">
        <f t="shared" si="2"/>
        <v>15</v>
      </c>
      <c r="R18" s="64">
        <f t="shared" si="2"/>
        <v>16</v>
      </c>
      <c r="S18" s="64">
        <f t="shared" si="2"/>
        <v>17</v>
      </c>
      <c r="T18" s="64">
        <f t="shared" si="2"/>
        <v>18</v>
      </c>
      <c r="U18" s="64">
        <f t="shared" si="2"/>
        <v>19</v>
      </c>
      <c r="V18" s="64">
        <f t="shared" si="2"/>
        <v>20</v>
      </c>
      <c r="W18" s="64">
        <f t="shared" si="2"/>
        <v>21</v>
      </c>
      <c r="X18" s="64">
        <f t="shared" si="2"/>
        <v>22</v>
      </c>
      <c r="Y18" s="64">
        <f t="shared" si="2"/>
        <v>23</v>
      </c>
      <c r="Z18" s="64">
        <f t="shared" si="2"/>
        <v>24</v>
      </c>
      <c r="AA18" s="64">
        <f t="shared" si="2"/>
        <v>25</v>
      </c>
      <c r="AB18" s="64">
        <f t="shared" si="2"/>
        <v>26</v>
      </c>
      <c r="AC18" s="64">
        <f t="shared" si="2"/>
        <v>27</v>
      </c>
      <c r="AD18" s="64">
        <f t="shared" si="2"/>
        <v>28</v>
      </c>
      <c r="AE18" s="64">
        <f t="shared" si="2"/>
        <v>29</v>
      </c>
      <c r="AF18" s="64">
        <f t="shared" si="2"/>
        <v>30</v>
      </c>
      <c r="AG18" s="64">
        <f t="shared" si="2"/>
        <v>31</v>
      </c>
      <c r="AH18" s="64">
        <f t="shared" si="2"/>
        <v>32</v>
      </c>
      <c r="AI18" s="64">
        <f t="shared" si="2"/>
        <v>33</v>
      </c>
      <c r="AJ18" s="64">
        <f t="shared" si="2"/>
        <v>34</v>
      </c>
      <c r="AK18" s="64">
        <f t="shared" si="2"/>
        <v>35</v>
      </c>
      <c r="AL18" s="57"/>
    </row>
    <row r="19" spans="1:38" ht="16.149999999999999" customHeight="1" x14ac:dyDescent="0.2">
      <c r="A19" s="57"/>
      <c r="B19" s="51" t="s">
        <v>11</v>
      </c>
      <c r="C19" s="98">
        <f>Section3!C3</f>
        <v>14279.999999999998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57"/>
    </row>
    <row r="20" spans="1:38" ht="16.149999999999999" customHeight="1" x14ac:dyDescent="0.2">
      <c r="A20" s="57"/>
      <c r="B20" s="51" t="s">
        <v>12</v>
      </c>
      <c r="C20" s="98">
        <f>Section3!C4</f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57"/>
    </row>
    <row r="21" spans="1:38" ht="16.149999999999999" customHeight="1" x14ac:dyDescent="0.2">
      <c r="A21" s="57"/>
      <c r="B21" s="51" t="s">
        <v>20</v>
      </c>
      <c r="C21" s="98">
        <f>Section3!C5</f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57"/>
    </row>
    <row r="22" spans="1:38" ht="16.149999999999999" customHeight="1" x14ac:dyDescent="0.2">
      <c r="A22" s="57"/>
      <c r="B22" s="51" t="s">
        <v>19</v>
      </c>
      <c r="C22" s="98">
        <f>Section3!C6</f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57"/>
    </row>
    <row r="23" spans="1:38" ht="16.149999999999999" customHeight="1" x14ac:dyDescent="0.2">
      <c r="A23" s="57"/>
      <c r="B23" s="51" t="s">
        <v>21</v>
      </c>
      <c r="C23" s="98">
        <f>Section3!C7</f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AL23" s="57"/>
    </row>
    <row r="24" spans="1:38" ht="16.149999999999999" customHeight="1" x14ac:dyDescent="0.2">
      <c r="A24" s="57"/>
      <c r="B24" s="51" t="s">
        <v>18</v>
      </c>
      <c r="C24" s="98">
        <f>Section3!C8</f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9">
        <v>0</v>
      </c>
      <c r="AH24" s="99">
        <v>0</v>
      </c>
      <c r="AI24" s="99">
        <v>0</v>
      </c>
      <c r="AJ24" s="99">
        <v>0</v>
      </c>
      <c r="AK24" s="99">
        <v>0</v>
      </c>
      <c r="AL24" s="57"/>
    </row>
    <row r="25" spans="1:38" ht="16.149999999999999" customHeight="1" x14ac:dyDescent="0.2">
      <c r="A25" s="57"/>
      <c r="B25" s="51" t="s">
        <v>13</v>
      </c>
      <c r="C25" s="98">
        <f>Section3!C9</f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57"/>
    </row>
    <row r="26" spans="1:38" ht="16.149999999999999" customHeight="1" x14ac:dyDescent="0.2">
      <c r="A26" s="57"/>
      <c r="B26" s="51" t="s">
        <v>17</v>
      </c>
      <c r="C26" s="98">
        <f>Section3!C10</f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99">
        <v>0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57"/>
    </row>
    <row r="27" spans="1:38" ht="16.149999999999999" customHeight="1" x14ac:dyDescent="0.2">
      <c r="A27" s="57"/>
      <c r="B27" s="51" t="s">
        <v>14</v>
      </c>
      <c r="C27" s="98">
        <f>Section3!C11</f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57"/>
    </row>
    <row r="28" spans="1:38" ht="16.149999999999999" customHeight="1" x14ac:dyDescent="0.2">
      <c r="A28" s="57"/>
      <c r="B28" s="51" t="s">
        <v>15</v>
      </c>
      <c r="C28" s="98">
        <f>Section3!C12</f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57"/>
    </row>
    <row r="29" spans="1:38" ht="16.149999999999999" customHeight="1" x14ac:dyDescent="0.2">
      <c r="A29" s="57"/>
      <c r="B29" s="51" t="s">
        <v>22</v>
      </c>
      <c r="C29" s="98">
        <f>Section3!C13</f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57"/>
    </row>
    <row r="30" spans="1:38" ht="16.149999999999999" customHeight="1" x14ac:dyDescent="0.2">
      <c r="A30" s="57"/>
      <c r="B30" s="51" t="s">
        <v>16</v>
      </c>
      <c r="C30" s="98">
        <f>Section3!C14</f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57"/>
    </row>
    <row r="31" spans="1:38" ht="16.149999999999999" customHeight="1" thickBot="1" x14ac:dyDescent="0.25">
      <c r="A31" s="57"/>
      <c r="B31" s="51" t="s">
        <v>52</v>
      </c>
      <c r="C31" s="98">
        <f>Section3!C15</f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57"/>
    </row>
    <row r="32" spans="1:38" ht="16.149999999999999" customHeight="1" thickBot="1" x14ac:dyDescent="0.25">
      <c r="A32" s="57"/>
      <c r="B32" s="53" t="s">
        <v>120</v>
      </c>
      <c r="C32" s="54">
        <f>SUM(C19:C31)</f>
        <v>14279.999999999998</v>
      </c>
      <c r="D32" s="54">
        <f t="shared" ref="D32:AK32" si="3">SUM(D19:D31)</f>
        <v>0</v>
      </c>
      <c r="E32" s="54">
        <f t="shared" si="3"/>
        <v>0</v>
      </c>
      <c r="F32" s="54">
        <f t="shared" si="3"/>
        <v>0</v>
      </c>
      <c r="G32" s="54">
        <f t="shared" si="3"/>
        <v>0</v>
      </c>
      <c r="H32" s="54">
        <f t="shared" si="3"/>
        <v>0</v>
      </c>
      <c r="I32" s="54">
        <f t="shared" si="3"/>
        <v>0</v>
      </c>
      <c r="J32" s="54">
        <f t="shared" si="3"/>
        <v>0</v>
      </c>
      <c r="K32" s="54">
        <f t="shared" si="3"/>
        <v>0</v>
      </c>
      <c r="L32" s="54">
        <f t="shared" si="3"/>
        <v>0</v>
      </c>
      <c r="M32" s="54">
        <f t="shared" si="3"/>
        <v>0</v>
      </c>
      <c r="N32" s="54">
        <f t="shared" si="3"/>
        <v>0</v>
      </c>
      <c r="O32" s="54">
        <f t="shared" si="3"/>
        <v>0</v>
      </c>
      <c r="P32" s="54">
        <f t="shared" si="3"/>
        <v>0</v>
      </c>
      <c r="Q32" s="54">
        <f t="shared" si="3"/>
        <v>0</v>
      </c>
      <c r="R32" s="54">
        <f t="shared" si="3"/>
        <v>0</v>
      </c>
      <c r="S32" s="54">
        <f t="shared" si="3"/>
        <v>0</v>
      </c>
      <c r="T32" s="54">
        <f t="shared" si="3"/>
        <v>0</v>
      </c>
      <c r="U32" s="54">
        <f t="shared" si="3"/>
        <v>0</v>
      </c>
      <c r="V32" s="54">
        <f t="shared" si="3"/>
        <v>0</v>
      </c>
      <c r="W32" s="54">
        <f t="shared" si="3"/>
        <v>0</v>
      </c>
      <c r="X32" s="54">
        <f t="shared" si="3"/>
        <v>0</v>
      </c>
      <c r="Y32" s="54">
        <f t="shared" si="3"/>
        <v>0</v>
      </c>
      <c r="Z32" s="54">
        <f t="shared" si="3"/>
        <v>0</v>
      </c>
      <c r="AA32" s="54">
        <f t="shared" si="3"/>
        <v>0</v>
      </c>
      <c r="AB32" s="54">
        <f t="shared" si="3"/>
        <v>0</v>
      </c>
      <c r="AC32" s="54">
        <f t="shared" si="3"/>
        <v>0</v>
      </c>
      <c r="AD32" s="54">
        <f t="shared" si="3"/>
        <v>0</v>
      </c>
      <c r="AE32" s="54">
        <f t="shared" si="3"/>
        <v>0</v>
      </c>
      <c r="AF32" s="54">
        <f t="shared" si="3"/>
        <v>0</v>
      </c>
      <c r="AG32" s="54">
        <f t="shared" si="3"/>
        <v>0</v>
      </c>
      <c r="AH32" s="54">
        <f t="shared" si="3"/>
        <v>0</v>
      </c>
      <c r="AI32" s="54">
        <f t="shared" si="3"/>
        <v>0</v>
      </c>
      <c r="AJ32" s="54">
        <f t="shared" si="3"/>
        <v>0</v>
      </c>
      <c r="AK32" s="54">
        <f t="shared" si="3"/>
        <v>0</v>
      </c>
      <c r="AL32" s="57"/>
    </row>
    <row r="33" spans="1:38" ht="16.149999999999999" customHeight="1" x14ac:dyDescent="0.25">
      <c r="A33" s="128" t="s">
        <v>223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</row>
    <row r="34" spans="1:38" ht="16.149999999999999" hidden="1" customHeight="1" x14ac:dyDescent="0.2"/>
  </sheetData>
  <sheetProtection password="D79C" sheet="1" objects="1" scenarios="1"/>
  <dataValidations count="1">
    <dataValidation type="custom" allowBlank="1" showInputMessage="1" showErrorMessage="1" error="Operations and Maintence Expense must be a positive number or zero with a maximum of five decimal places." sqref="D19:AK31">
      <formula1>AND(D19=INT(D19*100000)/100000,D19&gt;=0,INT(D19)&lt;=9999999999999)</formula1>
    </dataValidation>
  </dataValidations>
  <pageMargins left="0.7" right="0.7" top="0.75" bottom="0.75" header="0.3" footer="0.3"/>
  <pageSetup scale="19" orientation="landscape" r:id="rId1"/>
  <ignoredErrors>
    <ignoredError sqref="C19:C28 C29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8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80.7109375" style="47" customWidth="1"/>
    <col min="3" max="3" width="30.7109375" style="47" customWidth="1"/>
    <col min="4" max="4" width="10.7109375" style="47" customWidth="1"/>
    <col min="5" max="6" width="0" style="47" hidden="1" customWidth="1"/>
    <col min="7" max="16384" width="8.85546875" style="47" hidden="1"/>
  </cols>
  <sheetData>
    <row r="1" spans="1:6" ht="16.149999999999999" customHeight="1" thickBot="1" x14ac:dyDescent="0.25">
      <c r="A1" s="57" t="s">
        <v>226</v>
      </c>
      <c r="B1" s="57"/>
      <c r="C1" s="57"/>
      <c r="D1" s="57"/>
    </row>
    <row r="2" spans="1:6" ht="16.149999999999999" customHeight="1" thickBot="1" x14ac:dyDescent="0.3">
      <c r="A2" s="57"/>
      <c r="B2" s="48" t="s">
        <v>181</v>
      </c>
      <c r="C2" s="49"/>
      <c r="D2" s="57"/>
    </row>
    <row r="3" spans="1:6" ht="16.149999999999999" customHeight="1" x14ac:dyDescent="0.2">
      <c r="A3" s="57"/>
      <c r="B3" s="51" t="s">
        <v>162</v>
      </c>
      <c r="C3" s="95">
        <v>0.21</v>
      </c>
      <c r="D3" s="57"/>
    </row>
    <row r="4" spans="1:6" ht="16.149999999999999" customHeight="1" x14ac:dyDescent="0.2">
      <c r="A4" s="57"/>
      <c r="B4" s="51" t="s">
        <v>163</v>
      </c>
      <c r="C4" s="95">
        <v>8.5000000000000006E-2</v>
      </c>
      <c r="D4" s="57"/>
    </row>
    <row r="5" spans="1:6" ht="16.149999999999999" customHeight="1" x14ac:dyDescent="0.2">
      <c r="A5" s="57"/>
      <c r="B5" s="51" t="s">
        <v>157</v>
      </c>
      <c r="C5" s="123">
        <f>(1-C4)*C3+C4</f>
        <v>0.27715000000000001</v>
      </c>
      <c r="D5" s="57"/>
    </row>
    <row r="6" spans="1:6" ht="16.149999999999999" customHeight="1" thickBot="1" x14ac:dyDescent="0.25">
      <c r="A6" s="57"/>
      <c r="B6" s="62" t="s">
        <v>170</v>
      </c>
      <c r="C6" s="96">
        <v>0</v>
      </c>
      <c r="D6" s="57"/>
    </row>
    <row r="7" spans="1:6" ht="16.149999999999999" customHeight="1" thickBot="1" x14ac:dyDescent="0.25">
      <c r="A7" s="57"/>
      <c r="B7" s="66"/>
      <c r="C7" s="67"/>
      <c r="D7" s="57"/>
    </row>
    <row r="8" spans="1:6" ht="16.149999999999999" customHeight="1" thickBot="1" x14ac:dyDescent="0.3">
      <c r="A8" s="57"/>
      <c r="B8" s="48" t="s">
        <v>193</v>
      </c>
      <c r="C8" s="49"/>
      <c r="D8" s="57"/>
    </row>
    <row r="9" spans="1:6" ht="16.149999999999999" customHeight="1" x14ac:dyDescent="0.2">
      <c r="A9" s="57"/>
      <c r="B9" s="51" t="s">
        <v>118</v>
      </c>
      <c r="C9" s="95">
        <v>0.45</v>
      </c>
      <c r="D9" s="57"/>
    </row>
    <row r="10" spans="1:6" ht="16.149999999999999" customHeight="1" x14ac:dyDescent="0.2">
      <c r="A10" s="57"/>
      <c r="B10" s="51" t="s">
        <v>202</v>
      </c>
      <c r="C10" s="98">
        <f>C9*Section2!C22</f>
        <v>148922.55000000002</v>
      </c>
      <c r="D10" s="57"/>
    </row>
    <row r="11" spans="1:6" ht="16.149999999999999" customHeight="1" x14ac:dyDescent="0.2">
      <c r="A11" s="57"/>
      <c r="B11" s="51" t="s">
        <v>142</v>
      </c>
      <c r="C11" s="95">
        <v>0.14099999999999999</v>
      </c>
      <c r="D11" s="57"/>
      <c r="F11" s="68"/>
    </row>
    <row r="12" spans="1:6" ht="16.149999999999999" customHeight="1" x14ac:dyDescent="0.2">
      <c r="A12" s="57"/>
      <c r="B12" s="51" t="s">
        <v>117</v>
      </c>
      <c r="C12" s="124">
        <f>1-C9</f>
        <v>0.55000000000000004</v>
      </c>
      <c r="D12" s="57"/>
    </row>
    <row r="13" spans="1:6" ht="16.149999999999999" customHeight="1" x14ac:dyDescent="0.2">
      <c r="A13" s="57"/>
      <c r="B13" s="51" t="s">
        <v>203</v>
      </c>
      <c r="C13" s="98">
        <f>C12*Section2!C22</f>
        <v>182016.45000000004</v>
      </c>
      <c r="D13" s="57"/>
    </row>
    <row r="14" spans="1:6" ht="16.149999999999999" customHeight="1" x14ac:dyDescent="0.2">
      <c r="A14" s="57"/>
      <c r="B14" s="51" t="s">
        <v>130</v>
      </c>
      <c r="C14" s="95">
        <v>6.3E-2</v>
      </c>
      <c r="D14" s="57"/>
    </row>
    <row r="15" spans="1:6" ht="16.149999999999999" customHeight="1" x14ac:dyDescent="0.2">
      <c r="A15" s="57"/>
      <c r="B15" s="51" t="s">
        <v>152</v>
      </c>
      <c r="C15" s="119">
        <f>C11*C9+C14*C12*(1-C5)</f>
        <v>8.8496752499999998E-2</v>
      </c>
      <c r="D15" s="57"/>
    </row>
    <row r="16" spans="1:6" ht="30.75" thickBot="1" x14ac:dyDescent="0.25">
      <c r="A16" s="57"/>
      <c r="B16" s="52" t="s">
        <v>183</v>
      </c>
      <c r="C16" s="46" t="s">
        <v>43</v>
      </c>
      <c r="D16" s="57"/>
    </row>
    <row r="17" spans="1:4" ht="16.149999999999999" customHeight="1" x14ac:dyDescent="0.25">
      <c r="A17" s="128" t="s">
        <v>223</v>
      </c>
      <c r="B17" s="57"/>
      <c r="C17" s="57"/>
      <c r="D17" s="57"/>
    </row>
    <row r="18" spans="1:4" ht="16.149999999999999" hidden="1" customHeight="1" x14ac:dyDescent="0.2"/>
  </sheetData>
  <sheetProtection password="D79C" sheet="1" objects="1" scenarios="1"/>
  <dataValidations count="5">
    <dataValidation type="custom" allowBlank="1" showInputMessage="1" showErrorMessage="1" error="Interest Rate must be a number &gt;=0 with a maximum of 10 decimal places." sqref="C14:C15">
      <formula1>AND(C14=INT(C14*1000000000000)/1000000000000,C14&gt;=0)</formula1>
    </dataValidation>
    <dataValidation type="custom" allowBlank="1" showInputMessage="1" showErrorMessage="1" error="Value must be a number &gt;=0 and &lt;=1 with a maximum of 10 decimal places." sqref="C9 C11">
      <formula1>AND(C9=INT(C9*1000000000000)/1000000000000,C9&gt;=0,C9&lt;=1)</formula1>
    </dataValidation>
    <dataValidation type="custom" allowBlank="1" showInputMessage="1" showErrorMessage="1" error="Tax Rate must be a number &gt;=0 with a maximum of 10 decimal places. If State Gross Receipts Tax Rate &gt; 0, then State Income Tax Rate must be 0." sqref="C4">
      <formula1>OR(AND(C6=0,C4=INT(C4*1000000000000)/1000000000000,C4&gt;=0),AND(C6&gt;0,C4=0))</formula1>
    </dataValidation>
    <dataValidation type="custom" allowBlank="1" showInputMessage="1" showErrorMessage="1" error="Tax Rate must be a number &gt;=0 with a maximum of 10 decimal places." sqref="C3">
      <formula1>AND(C3=INT(C3*1000000000000)/1000000000000,C3&gt;=0)</formula1>
    </dataValidation>
    <dataValidation type="custom" allowBlank="1" showInputMessage="1" showErrorMessage="1" error="Tax Rate must be a number &gt;=0 with a maximum of 10 decimal places. If State Income Tax Rate &gt; 0, then State Gross Receipts Tax Rate must be 0." sqref="C6:C7">
      <formula1>OR(AND(C4=0,C6=INT(C6*1000000000000)/1000000000000,C6&gt;=0),AND(C4&gt;0,C6=0))</formula1>
    </dataValidation>
  </dataValidations>
  <pageMargins left="0.7" right="0.7" top="0.75" bottom="0.75" header="0.3" footer="0.3"/>
  <pageSetup scale="50" orientation="portrait" r:id="rId1"/>
  <ignoredErrors>
    <ignoredError sqref="C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DropDown!$B$3:$B$5</xm:f>
          </x14:formula1>
          <xm:sqref>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31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38.5703125" style="47" customWidth="1"/>
    <col min="3" max="3" width="20.7109375" style="47" customWidth="1"/>
    <col min="4" max="38" width="15.7109375" style="47" customWidth="1"/>
    <col min="39" max="39" width="10.7109375" style="47" customWidth="1"/>
    <col min="40" max="16384" width="8.85546875" style="47" hidden="1"/>
  </cols>
  <sheetData>
    <row r="1" spans="1:39" ht="16.149999999999999" customHeight="1" x14ac:dyDescent="0.25">
      <c r="A1" s="57" t="s">
        <v>226</v>
      </c>
      <c r="B1" s="129" t="s">
        <v>81</v>
      </c>
      <c r="C1" s="130"/>
      <c r="D1" s="130"/>
      <c r="E1" s="130"/>
      <c r="F1" s="130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6.149999999999999" customHeight="1" thickBot="1" x14ac:dyDescent="0.3">
      <c r="A2" s="57"/>
      <c r="B2" s="69" t="str">
        <f>IF(AND(Section5!$C$16="Yes",Section6!C4&lt;&gt;Section5!C13),"Check Principal Payment Values","")</f>
        <v/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 ht="16.149999999999999" customHeight="1" thickBot="1" x14ac:dyDescent="0.3">
      <c r="A3" s="57"/>
      <c r="B3" s="63" t="s">
        <v>101</v>
      </c>
      <c r="C3" s="64" t="s">
        <v>164</v>
      </c>
      <c r="D3" s="64">
        <v>1</v>
      </c>
      <c r="E3" s="64">
        <f>D3+1</f>
        <v>2</v>
      </c>
      <c r="F3" s="64">
        <f t="shared" ref="F3" si="0">E3+1</f>
        <v>3</v>
      </c>
      <c r="G3" s="64">
        <f t="shared" ref="G3" si="1">F3+1</f>
        <v>4</v>
      </c>
      <c r="H3" s="64">
        <f t="shared" ref="H3" si="2">G3+1</f>
        <v>5</v>
      </c>
      <c r="I3" s="64">
        <f t="shared" ref="I3" si="3">H3+1</f>
        <v>6</v>
      </c>
      <c r="J3" s="64">
        <f t="shared" ref="J3" si="4">I3+1</f>
        <v>7</v>
      </c>
      <c r="K3" s="64">
        <f t="shared" ref="K3" si="5">J3+1</f>
        <v>8</v>
      </c>
      <c r="L3" s="64">
        <f t="shared" ref="L3" si="6">K3+1</f>
        <v>9</v>
      </c>
      <c r="M3" s="64">
        <f t="shared" ref="M3" si="7">L3+1</f>
        <v>10</v>
      </c>
      <c r="N3" s="64">
        <f t="shared" ref="N3" si="8">M3+1</f>
        <v>11</v>
      </c>
      <c r="O3" s="64">
        <f t="shared" ref="O3" si="9">N3+1</f>
        <v>12</v>
      </c>
      <c r="P3" s="64">
        <f t="shared" ref="P3" si="10">O3+1</f>
        <v>13</v>
      </c>
      <c r="Q3" s="64">
        <f t="shared" ref="Q3" si="11">P3+1</f>
        <v>14</v>
      </c>
      <c r="R3" s="64">
        <f t="shared" ref="R3" si="12">Q3+1</f>
        <v>15</v>
      </c>
      <c r="S3" s="64">
        <f t="shared" ref="S3" si="13">R3+1</f>
        <v>16</v>
      </c>
      <c r="T3" s="64">
        <f t="shared" ref="T3" si="14">S3+1</f>
        <v>17</v>
      </c>
      <c r="U3" s="64">
        <f t="shared" ref="U3" si="15">T3+1</f>
        <v>18</v>
      </c>
      <c r="V3" s="64">
        <f t="shared" ref="V3" si="16">U3+1</f>
        <v>19</v>
      </c>
      <c r="W3" s="64">
        <f t="shared" ref="W3" si="17">V3+1</f>
        <v>20</v>
      </c>
      <c r="X3" s="64">
        <f t="shared" ref="X3" si="18">W3+1</f>
        <v>21</v>
      </c>
      <c r="Y3" s="64">
        <f t="shared" ref="Y3" si="19">X3+1</f>
        <v>22</v>
      </c>
      <c r="Z3" s="64">
        <f t="shared" ref="Z3" si="20">Y3+1</f>
        <v>23</v>
      </c>
      <c r="AA3" s="64">
        <f t="shared" ref="AA3" si="21">Z3+1</f>
        <v>24</v>
      </c>
      <c r="AB3" s="64">
        <f t="shared" ref="AB3" si="22">AA3+1</f>
        <v>25</v>
      </c>
      <c r="AC3" s="64">
        <f t="shared" ref="AC3" si="23">AB3+1</f>
        <v>26</v>
      </c>
      <c r="AD3" s="64">
        <f t="shared" ref="AD3" si="24">AC3+1</f>
        <v>27</v>
      </c>
      <c r="AE3" s="64">
        <f t="shared" ref="AE3" si="25">AD3+1</f>
        <v>28</v>
      </c>
      <c r="AF3" s="64">
        <f t="shared" ref="AF3" si="26">AE3+1</f>
        <v>29</v>
      </c>
      <c r="AG3" s="64">
        <f t="shared" ref="AG3" si="27">AF3+1</f>
        <v>30</v>
      </c>
      <c r="AH3" s="64">
        <f t="shared" ref="AH3" si="28">AG3+1</f>
        <v>31</v>
      </c>
      <c r="AI3" s="64">
        <f t="shared" ref="AI3" si="29">AH3+1</f>
        <v>32</v>
      </c>
      <c r="AJ3" s="64">
        <f t="shared" ref="AJ3" si="30">AI3+1</f>
        <v>33</v>
      </c>
      <c r="AK3" s="64">
        <f t="shared" ref="AK3" si="31">AJ3+1</f>
        <v>34</v>
      </c>
      <c r="AL3" s="64">
        <f t="shared" ref="AL3" si="32">AK3+1</f>
        <v>35</v>
      </c>
      <c r="AM3" s="57"/>
    </row>
    <row r="4" spans="1:39" ht="16.149999999999999" customHeight="1" x14ac:dyDescent="0.2">
      <c r="A4" s="57"/>
      <c r="B4" s="70" t="s">
        <v>79</v>
      </c>
      <c r="C4" s="100">
        <f>SUM(D4:AL4)</f>
        <v>0</v>
      </c>
      <c r="D4" s="101">
        <f>IF(Section5!$C$16="No",0,D8)</f>
        <v>0</v>
      </c>
      <c r="E4" s="101">
        <f>IF(Section5!$C$16="No",0,E8)</f>
        <v>0</v>
      </c>
      <c r="F4" s="101">
        <f>IF(Section5!$C$16="No",0,F8)</f>
        <v>0</v>
      </c>
      <c r="G4" s="101">
        <f>IF(Section5!$C$16="No",0,G8)</f>
        <v>0</v>
      </c>
      <c r="H4" s="101">
        <f>IF(Section5!$C$16="No",0,H8)</f>
        <v>0</v>
      </c>
      <c r="I4" s="101">
        <f>IF(Section5!$C$16="No",0,I8)</f>
        <v>0</v>
      </c>
      <c r="J4" s="101">
        <f>IF(Section5!$C$16="No",0,J8)</f>
        <v>0</v>
      </c>
      <c r="K4" s="101">
        <f>IF(Section5!$C$16="No",0,K8)</f>
        <v>0</v>
      </c>
      <c r="L4" s="101">
        <f>IF(Section5!$C$16="No",0,L8)</f>
        <v>0</v>
      </c>
      <c r="M4" s="101">
        <f>IF(Section5!$C$16="No",0,M8)</f>
        <v>0</v>
      </c>
      <c r="N4" s="101">
        <f>IF(Section5!$C$16="No",0,N8)</f>
        <v>0</v>
      </c>
      <c r="O4" s="101">
        <f>IF(Section5!$C$16="No",0,O8)</f>
        <v>0</v>
      </c>
      <c r="P4" s="101">
        <f>IF(Section5!$C$16="No",0,P8)</f>
        <v>0</v>
      </c>
      <c r="Q4" s="101">
        <f>IF(Section5!$C$16="No",0,Q8)</f>
        <v>0</v>
      </c>
      <c r="R4" s="101">
        <f>IF(Section5!$C$16="No",0,R8)</f>
        <v>0</v>
      </c>
      <c r="S4" s="101">
        <f>IF(Section5!$C$16="No",0,S8)</f>
        <v>0</v>
      </c>
      <c r="T4" s="101">
        <f>IF(Section5!$C$16="No",0,T8)</f>
        <v>0</v>
      </c>
      <c r="U4" s="101">
        <f>IF(Section5!$C$16="No",0,U8)</f>
        <v>0</v>
      </c>
      <c r="V4" s="101">
        <f>IF(Section5!$C$16="No",0,V8)</f>
        <v>0</v>
      </c>
      <c r="W4" s="101">
        <f>IF(Section5!$C$16="No",0,W8)</f>
        <v>0</v>
      </c>
      <c r="X4" s="101">
        <f>IF(Section5!$C$16="No",0,X8)</f>
        <v>0</v>
      </c>
      <c r="Y4" s="101">
        <f>IF(Section5!$C$16="No",0,Y8)</f>
        <v>0</v>
      </c>
      <c r="Z4" s="101">
        <f>IF(Section5!$C$16="No",0,Z8)</f>
        <v>0</v>
      </c>
      <c r="AA4" s="101">
        <f>IF(Section5!$C$16="No",0,AA8)</f>
        <v>0</v>
      </c>
      <c r="AB4" s="101">
        <f>IF(Section5!$C$16="No",0,AB8)</f>
        <v>0</v>
      </c>
      <c r="AC4" s="101">
        <f>IF(Section5!$C$16="No",0,AC8)</f>
        <v>0</v>
      </c>
      <c r="AD4" s="101">
        <f>IF(Section5!$C$16="No",0,AD8)</f>
        <v>0</v>
      </c>
      <c r="AE4" s="101">
        <f>IF(Section5!$C$16="No",0,AE8)</f>
        <v>0</v>
      </c>
      <c r="AF4" s="101">
        <f>IF(Section5!$C$16="No",0,AF8)</f>
        <v>0</v>
      </c>
      <c r="AG4" s="101">
        <f>IF(Section5!$C$16="No",0,AG8)</f>
        <v>0</v>
      </c>
      <c r="AH4" s="101">
        <f>IF(Section5!$C$16="No",0,AH8)</f>
        <v>0</v>
      </c>
      <c r="AI4" s="101">
        <f>IF(Section5!$C$16="No",0,AI8)</f>
        <v>0</v>
      </c>
      <c r="AJ4" s="101">
        <f>IF(Section5!$C$16="No",0,AJ8)</f>
        <v>0</v>
      </c>
      <c r="AK4" s="101">
        <f>IF(Section5!$C$16="No",0,AK8)</f>
        <v>0</v>
      </c>
      <c r="AL4" s="101">
        <f>IF(Section5!$C$16="No",0,AL8)</f>
        <v>0</v>
      </c>
      <c r="AM4" s="57"/>
    </row>
    <row r="5" spans="1:39" ht="16.149999999999999" customHeight="1" thickBot="1" x14ac:dyDescent="0.25">
      <c r="A5" s="57"/>
      <c r="B5" s="71" t="s">
        <v>39</v>
      </c>
      <c r="C5" s="102">
        <f>SUM(D5:AL5)</f>
        <v>0</v>
      </c>
      <c r="D5" s="103">
        <f>IF(Section5!$C$16="No",0,D9)</f>
        <v>0</v>
      </c>
      <c r="E5" s="103">
        <f>IF(Section5!$C$16="No",0,E9)</f>
        <v>0</v>
      </c>
      <c r="F5" s="103">
        <f>IF(Section5!$C$16="No",0,F9)</f>
        <v>0</v>
      </c>
      <c r="G5" s="103">
        <f>IF(Section5!$C$16="No",0,G9)</f>
        <v>0</v>
      </c>
      <c r="H5" s="103">
        <f>IF(Section5!$C$16="No",0,H9)</f>
        <v>0</v>
      </c>
      <c r="I5" s="103">
        <f>IF(Section5!$C$16="No",0,I9)</f>
        <v>0</v>
      </c>
      <c r="J5" s="103">
        <f>IF(Section5!$C$16="No",0,J9)</f>
        <v>0</v>
      </c>
      <c r="K5" s="103">
        <f>IF(Section5!$C$16="No",0,K9)</f>
        <v>0</v>
      </c>
      <c r="L5" s="103">
        <f>IF(Section5!$C$16="No",0,L9)</f>
        <v>0</v>
      </c>
      <c r="M5" s="103">
        <f>IF(Section5!$C$16="No",0,M9)</f>
        <v>0</v>
      </c>
      <c r="N5" s="103">
        <f>IF(Section5!$C$16="No",0,N9)</f>
        <v>0</v>
      </c>
      <c r="O5" s="103">
        <f>IF(Section5!$C$16="No",0,O9)</f>
        <v>0</v>
      </c>
      <c r="P5" s="103">
        <f>IF(Section5!$C$16="No",0,P9)</f>
        <v>0</v>
      </c>
      <c r="Q5" s="103">
        <f>IF(Section5!$C$16="No",0,Q9)</f>
        <v>0</v>
      </c>
      <c r="R5" s="103">
        <f>IF(Section5!$C$16="No",0,R9)</f>
        <v>0</v>
      </c>
      <c r="S5" s="103">
        <f>IF(Section5!$C$16="No",0,S9)</f>
        <v>0</v>
      </c>
      <c r="T5" s="103">
        <f>IF(Section5!$C$16="No",0,T9)</f>
        <v>0</v>
      </c>
      <c r="U5" s="103">
        <f>IF(Section5!$C$16="No",0,U9)</f>
        <v>0</v>
      </c>
      <c r="V5" s="103">
        <f>IF(Section5!$C$16="No",0,V9)</f>
        <v>0</v>
      </c>
      <c r="W5" s="103">
        <f>IF(Section5!$C$16="No",0,W9)</f>
        <v>0</v>
      </c>
      <c r="X5" s="103">
        <f>IF(Section5!$C$16="No",0,X9)</f>
        <v>0</v>
      </c>
      <c r="Y5" s="103">
        <f>IF(Section5!$C$16="No",0,Y9)</f>
        <v>0</v>
      </c>
      <c r="Z5" s="103">
        <f>IF(Section5!$C$16="No",0,Z9)</f>
        <v>0</v>
      </c>
      <c r="AA5" s="103">
        <f>IF(Section5!$C$16="No",0,AA9)</f>
        <v>0</v>
      </c>
      <c r="AB5" s="103">
        <f>IF(Section5!$C$16="No",0,AB9)</f>
        <v>0</v>
      </c>
      <c r="AC5" s="103">
        <f>IF(Section5!$C$16="No",0,AC9)</f>
        <v>0</v>
      </c>
      <c r="AD5" s="103">
        <f>IF(Section5!$C$16="No",0,AD9)</f>
        <v>0</v>
      </c>
      <c r="AE5" s="103">
        <f>IF(Section5!$C$16="No",0,AE9)</f>
        <v>0</v>
      </c>
      <c r="AF5" s="103">
        <f>IF(Section5!$C$16="No",0,AF9)</f>
        <v>0</v>
      </c>
      <c r="AG5" s="103">
        <f>IF(Section5!$C$16="No",0,AG9)</f>
        <v>0</v>
      </c>
      <c r="AH5" s="103">
        <f>IF(Section5!$C$16="No",0,AH9)</f>
        <v>0</v>
      </c>
      <c r="AI5" s="103">
        <f>IF(Section5!$C$16="No",0,AI9)</f>
        <v>0</v>
      </c>
      <c r="AJ5" s="103">
        <f>IF(Section5!$C$16="No",0,AJ9)</f>
        <v>0</v>
      </c>
      <c r="AK5" s="103">
        <f>IF(Section5!$C$16="No",0,AK9)</f>
        <v>0</v>
      </c>
      <c r="AL5" s="103">
        <f>IF(Section5!$C$16="No",0,AL9)</f>
        <v>0</v>
      </c>
      <c r="AM5" s="57"/>
    </row>
    <row r="6" spans="1:39" ht="16.149999999999999" customHeight="1" thickBot="1" x14ac:dyDescent="0.3">
      <c r="A6" s="57"/>
      <c r="B6" s="69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</row>
    <row r="7" spans="1:39" ht="16.149999999999999" customHeight="1" thickBot="1" x14ac:dyDescent="0.3">
      <c r="A7" s="57"/>
      <c r="B7" s="63" t="s">
        <v>121</v>
      </c>
      <c r="C7" s="64" t="s">
        <v>164</v>
      </c>
      <c r="D7" s="64">
        <v>1</v>
      </c>
      <c r="E7" s="64">
        <f t="shared" ref="E7" si="33">D7+1</f>
        <v>2</v>
      </c>
      <c r="F7" s="64">
        <f t="shared" ref="F7" si="34">E7+1</f>
        <v>3</v>
      </c>
      <c r="G7" s="64">
        <f t="shared" ref="G7" si="35">F7+1</f>
        <v>4</v>
      </c>
      <c r="H7" s="64">
        <f t="shared" ref="H7" si="36">G7+1</f>
        <v>5</v>
      </c>
      <c r="I7" s="64">
        <f t="shared" ref="I7" si="37">H7+1</f>
        <v>6</v>
      </c>
      <c r="J7" s="64">
        <f t="shared" ref="J7" si="38">I7+1</f>
        <v>7</v>
      </c>
      <c r="K7" s="64">
        <f t="shared" ref="K7" si="39">J7+1</f>
        <v>8</v>
      </c>
      <c r="L7" s="64">
        <f t="shared" ref="L7" si="40">K7+1</f>
        <v>9</v>
      </c>
      <c r="M7" s="64">
        <f t="shared" ref="M7" si="41">L7+1</f>
        <v>10</v>
      </c>
      <c r="N7" s="64">
        <f t="shared" ref="N7" si="42">M7+1</f>
        <v>11</v>
      </c>
      <c r="O7" s="64">
        <f t="shared" ref="O7" si="43">N7+1</f>
        <v>12</v>
      </c>
      <c r="P7" s="64">
        <f t="shared" ref="P7" si="44">O7+1</f>
        <v>13</v>
      </c>
      <c r="Q7" s="64">
        <f t="shared" ref="Q7" si="45">P7+1</f>
        <v>14</v>
      </c>
      <c r="R7" s="64">
        <f t="shared" ref="R7" si="46">Q7+1</f>
        <v>15</v>
      </c>
      <c r="S7" s="64">
        <f t="shared" ref="S7" si="47">R7+1</f>
        <v>16</v>
      </c>
      <c r="T7" s="64">
        <f t="shared" ref="T7" si="48">S7+1</f>
        <v>17</v>
      </c>
      <c r="U7" s="64">
        <f t="shared" ref="U7" si="49">T7+1</f>
        <v>18</v>
      </c>
      <c r="V7" s="64">
        <f t="shared" ref="V7" si="50">U7+1</f>
        <v>19</v>
      </c>
      <c r="W7" s="64">
        <f t="shared" ref="W7" si="51">V7+1</f>
        <v>20</v>
      </c>
      <c r="X7" s="64">
        <f t="shared" ref="X7" si="52">W7+1</f>
        <v>21</v>
      </c>
      <c r="Y7" s="64">
        <f t="shared" ref="Y7" si="53">X7+1</f>
        <v>22</v>
      </c>
      <c r="Z7" s="64">
        <f t="shared" ref="Z7" si="54">Y7+1</f>
        <v>23</v>
      </c>
      <c r="AA7" s="64">
        <f t="shared" ref="AA7" si="55">Z7+1</f>
        <v>24</v>
      </c>
      <c r="AB7" s="64">
        <f t="shared" ref="AB7" si="56">AA7+1</f>
        <v>25</v>
      </c>
      <c r="AC7" s="64">
        <f t="shared" ref="AC7" si="57">AB7+1</f>
        <v>26</v>
      </c>
      <c r="AD7" s="64">
        <f t="shared" ref="AD7" si="58">AC7+1</f>
        <v>27</v>
      </c>
      <c r="AE7" s="64">
        <f t="shared" ref="AE7" si="59">AD7+1</f>
        <v>28</v>
      </c>
      <c r="AF7" s="64">
        <f t="shared" ref="AF7" si="60">AE7+1</f>
        <v>29</v>
      </c>
      <c r="AG7" s="64">
        <f t="shared" ref="AG7" si="61">AF7+1</f>
        <v>30</v>
      </c>
      <c r="AH7" s="64">
        <f t="shared" ref="AH7" si="62">AG7+1</f>
        <v>31</v>
      </c>
      <c r="AI7" s="64">
        <f t="shared" ref="AI7" si="63">AH7+1</f>
        <v>32</v>
      </c>
      <c r="AJ7" s="64">
        <f t="shared" ref="AJ7" si="64">AI7+1</f>
        <v>33</v>
      </c>
      <c r="AK7" s="64">
        <f t="shared" ref="AK7" si="65">AJ7+1</f>
        <v>34</v>
      </c>
      <c r="AL7" s="64">
        <f t="shared" ref="AL7" si="66">AK7+1</f>
        <v>35</v>
      </c>
      <c r="AM7" s="57"/>
    </row>
    <row r="8" spans="1:39" ht="16.149999999999999" customHeight="1" x14ac:dyDescent="0.2">
      <c r="A8" s="57"/>
      <c r="B8" s="70" t="s">
        <v>79</v>
      </c>
      <c r="C8" s="100">
        <f>SUM(D8:AL8)</f>
        <v>0</v>
      </c>
      <c r="D8" s="100">
        <f>D12+D16+D20+D24+D28</f>
        <v>0</v>
      </c>
      <c r="E8" s="100">
        <f t="shared" ref="E8:AL8" si="67">E12+E16+E20+E24+E28</f>
        <v>0</v>
      </c>
      <c r="F8" s="100">
        <f t="shared" si="67"/>
        <v>0</v>
      </c>
      <c r="G8" s="100">
        <f t="shared" si="67"/>
        <v>0</v>
      </c>
      <c r="H8" s="100">
        <f t="shared" si="67"/>
        <v>0</v>
      </c>
      <c r="I8" s="100">
        <f t="shared" si="67"/>
        <v>0</v>
      </c>
      <c r="J8" s="100">
        <f t="shared" si="67"/>
        <v>0</v>
      </c>
      <c r="K8" s="100">
        <f t="shared" si="67"/>
        <v>0</v>
      </c>
      <c r="L8" s="100">
        <f t="shared" si="67"/>
        <v>0</v>
      </c>
      <c r="M8" s="100">
        <f t="shared" si="67"/>
        <v>0</v>
      </c>
      <c r="N8" s="100">
        <f t="shared" si="67"/>
        <v>0</v>
      </c>
      <c r="O8" s="100">
        <f t="shared" si="67"/>
        <v>0</v>
      </c>
      <c r="P8" s="100">
        <f t="shared" si="67"/>
        <v>0</v>
      </c>
      <c r="Q8" s="100">
        <f t="shared" si="67"/>
        <v>0</v>
      </c>
      <c r="R8" s="100">
        <f t="shared" si="67"/>
        <v>0</v>
      </c>
      <c r="S8" s="100">
        <f t="shared" si="67"/>
        <v>0</v>
      </c>
      <c r="T8" s="100">
        <f t="shared" si="67"/>
        <v>0</v>
      </c>
      <c r="U8" s="100">
        <f t="shared" si="67"/>
        <v>0</v>
      </c>
      <c r="V8" s="100">
        <f t="shared" si="67"/>
        <v>0</v>
      </c>
      <c r="W8" s="100">
        <f t="shared" si="67"/>
        <v>0</v>
      </c>
      <c r="X8" s="100">
        <f t="shared" si="67"/>
        <v>0</v>
      </c>
      <c r="Y8" s="100">
        <f t="shared" si="67"/>
        <v>0</v>
      </c>
      <c r="Z8" s="100">
        <f t="shared" si="67"/>
        <v>0</v>
      </c>
      <c r="AA8" s="100">
        <f t="shared" si="67"/>
        <v>0</v>
      </c>
      <c r="AB8" s="100">
        <f t="shared" si="67"/>
        <v>0</v>
      </c>
      <c r="AC8" s="100">
        <f t="shared" si="67"/>
        <v>0</v>
      </c>
      <c r="AD8" s="100">
        <f t="shared" si="67"/>
        <v>0</v>
      </c>
      <c r="AE8" s="100">
        <f t="shared" si="67"/>
        <v>0</v>
      </c>
      <c r="AF8" s="100">
        <f t="shared" si="67"/>
        <v>0</v>
      </c>
      <c r="AG8" s="100">
        <f t="shared" si="67"/>
        <v>0</v>
      </c>
      <c r="AH8" s="100">
        <f t="shared" si="67"/>
        <v>0</v>
      </c>
      <c r="AI8" s="100">
        <f t="shared" si="67"/>
        <v>0</v>
      </c>
      <c r="AJ8" s="100">
        <f t="shared" si="67"/>
        <v>0</v>
      </c>
      <c r="AK8" s="100">
        <f t="shared" si="67"/>
        <v>0</v>
      </c>
      <c r="AL8" s="100">
        <f t="shared" si="67"/>
        <v>0</v>
      </c>
      <c r="AM8" s="57"/>
    </row>
    <row r="9" spans="1:39" ht="16.149999999999999" customHeight="1" thickBot="1" x14ac:dyDescent="0.25">
      <c r="A9" s="57"/>
      <c r="B9" s="71" t="s">
        <v>39</v>
      </c>
      <c r="C9" s="102">
        <f>SUM(D9:AL9)</f>
        <v>0</v>
      </c>
      <c r="D9" s="102">
        <f t="shared" ref="D9:AL9" si="68">D13+D17+D21+D25+D29</f>
        <v>0</v>
      </c>
      <c r="E9" s="102">
        <f t="shared" si="68"/>
        <v>0</v>
      </c>
      <c r="F9" s="102">
        <f t="shared" si="68"/>
        <v>0</v>
      </c>
      <c r="G9" s="102">
        <f t="shared" si="68"/>
        <v>0</v>
      </c>
      <c r="H9" s="102">
        <f t="shared" si="68"/>
        <v>0</v>
      </c>
      <c r="I9" s="102">
        <f t="shared" si="68"/>
        <v>0</v>
      </c>
      <c r="J9" s="102">
        <f t="shared" si="68"/>
        <v>0</v>
      </c>
      <c r="K9" s="102">
        <f t="shared" si="68"/>
        <v>0</v>
      </c>
      <c r="L9" s="102">
        <f t="shared" si="68"/>
        <v>0</v>
      </c>
      <c r="M9" s="102">
        <f t="shared" si="68"/>
        <v>0</v>
      </c>
      <c r="N9" s="102">
        <f t="shared" si="68"/>
        <v>0</v>
      </c>
      <c r="O9" s="102">
        <f t="shared" si="68"/>
        <v>0</v>
      </c>
      <c r="P9" s="102">
        <f t="shared" si="68"/>
        <v>0</v>
      </c>
      <c r="Q9" s="102">
        <f t="shared" si="68"/>
        <v>0</v>
      </c>
      <c r="R9" s="102">
        <f t="shared" si="68"/>
        <v>0</v>
      </c>
      <c r="S9" s="102">
        <f t="shared" si="68"/>
        <v>0</v>
      </c>
      <c r="T9" s="102">
        <f t="shared" si="68"/>
        <v>0</v>
      </c>
      <c r="U9" s="102">
        <f t="shared" si="68"/>
        <v>0</v>
      </c>
      <c r="V9" s="102">
        <f t="shared" si="68"/>
        <v>0</v>
      </c>
      <c r="W9" s="102">
        <f t="shared" si="68"/>
        <v>0</v>
      </c>
      <c r="X9" s="102">
        <f t="shared" si="68"/>
        <v>0</v>
      </c>
      <c r="Y9" s="102">
        <f t="shared" si="68"/>
        <v>0</v>
      </c>
      <c r="Z9" s="102">
        <f t="shared" si="68"/>
        <v>0</v>
      </c>
      <c r="AA9" s="102">
        <f t="shared" si="68"/>
        <v>0</v>
      </c>
      <c r="AB9" s="102">
        <f t="shared" si="68"/>
        <v>0</v>
      </c>
      <c r="AC9" s="102">
        <f t="shared" si="68"/>
        <v>0</v>
      </c>
      <c r="AD9" s="102">
        <f t="shared" si="68"/>
        <v>0</v>
      </c>
      <c r="AE9" s="102">
        <f t="shared" si="68"/>
        <v>0</v>
      </c>
      <c r="AF9" s="102">
        <f t="shared" si="68"/>
        <v>0</v>
      </c>
      <c r="AG9" s="102">
        <f t="shared" si="68"/>
        <v>0</v>
      </c>
      <c r="AH9" s="102">
        <f t="shared" si="68"/>
        <v>0</v>
      </c>
      <c r="AI9" s="102">
        <f t="shared" si="68"/>
        <v>0</v>
      </c>
      <c r="AJ9" s="102">
        <f t="shared" si="68"/>
        <v>0</v>
      </c>
      <c r="AK9" s="102">
        <f t="shared" si="68"/>
        <v>0</v>
      </c>
      <c r="AL9" s="102">
        <f t="shared" si="68"/>
        <v>0</v>
      </c>
      <c r="AM9" s="57"/>
    </row>
    <row r="10" spans="1:39" ht="16.149999999999999" customHeight="1" thickBo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</row>
    <row r="11" spans="1:39" ht="16.149999999999999" customHeight="1" thickBot="1" x14ac:dyDescent="0.3">
      <c r="A11" s="57"/>
      <c r="B11" s="63" t="s">
        <v>122</v>
      </c>
      <c r="C11" s="64" t="s">
        <v>164</v>
      </c>
      <c r="D11" s="64">
        <v>1</v>
      </c>
      <c r="E11" s="64">
        <f t="shared" ref="E11" si="69">D11+1</f>
        <v>2</v>
      </c>
      <c r="F11" s="64">
        <f t="shared" ref="F11" si="70">E11+1</f>
        <v>3</v>
      </c>
      <c r="G11" s="64">
        <f t="shared" ref="G11" si="71">F11+1</f>
        <v>4</v>
      </c>
      <c r="H11" s="64">
        <f t="shared" ref="H11" si="72">G11+1</f>
        <v>5</v>
      </c>
      <c r="I11" s="64">
        <f t="shared" ref="I11" si="73">H11+1</f>
        <v>6</v>
      </c>
      <c r="J11" s="64">
        <f t="shared" ref="J11" si="74">I11+1</f>
        <v>7</v>
      </c>
      <c r="K11" s="64">
        <f t="shared" ref="K11" si="75">J11+1</f>
        <v>8</v>
      </c>
      <c r="L11" s="64">
        <f t="shared" ref="L11" si="76">K11+1</f>
        <v>9</v>
      </c>
      <c r="M11" s="64">
        <f t="shared" ref="M11" si="77">L11+1</f>
        <v>10</v>
      </c>
      <c r="N11" s="64">
        <f t="shared" ref="N11" si="78">M11+1</f>
        <v>11</v>
      </c>
      <c r="O11" s="64">
        <f t="shared" ref="O11" si="79">N11+1</f>
        <v>12</v>
      </c>
      <c r="P11" s="64">
        <f t="shared" ref="P11" si="80">O11+1</f>
        <v>13</v>
      </c>
      <c r="Q11" s="64">
        <f t="shared" ref="Q11" si="81">P11+1</f>
        <v>14</v>
      </c>
      <c r="R11" s="64">
        <f t="shared" ref="R11" si="82">Q11+1</f>
        <v>15</v>
      </c>
      <c r="S11" s="64">
        <f t="shared" ref="S11" si="83">R11+1</f>
        <v>16</v>
      </c>
      <c r="T11" s="64">
        <f t="shared" ref="T11" si="84">S11+1</f>
        <v>17</v>
      </c>
      <c r="U11" s="64">
        <f t="shared" ref="U11" si="85">T11+1</f>
        <v>18</v>
      </c>
      <c r="V11" s="64">
        <f t="shared" ref="V11" si="86">U11+1</f>
        <v>19</v>
      </c>
      <c r="W11" s="64">
        <f t="shared" ref="W11" si="87">V11+1</f>
        <v>20</v>
      </c>
      <c r="X11" s="64">
        <f t="shared" ref="X11" si="88">W11+1</f>
        <v>21</v>
      </c>
      <c r="Y11" s="64">
        <f t="shared" ref="Y11" si="89">X11+1</f>
        <v>22</v>
      </c>
      <c r="Z11" s="64">
        <f t="shared" ref="Z11" si="90">Y11+1</f>
        <v>23</v>
      </c>
      <c r="AA11" s="64">
        <f t="shared" ref="AA11" si="91">Z11+1</f>
        <v>24</v>
      </c>
      <c r="AB11" s="64">
        <f t="shared" ref="AB11" si="92">AA11+1</f>
        <v>25</v>
      </c>
      <c r="AC11" s="64">
        <f t="shared" ref="AC11" si="93">AB11+1</f>
        <v>26</v>
      </c>
      <c r="AD11" s="64">
        <f t="shared" ref="AD11" si="94">AC11+1</f>
        <v>27</v>
      </c>
      <c r="AE11" s="64">
        <f t="shared" ref="AE11" si="95">AD11+1</f>
        <v>28</v>
      </c>
      <c r="AF11" s="64">
        <f t="shared" ref="AF11" si="96">AE11+1</f>
        <v>29</v>
      </c>
      <c r="AG11" s="64">
        <f t="shared" ref="AG11" si="97">AF11+1</f>
        <v>30</v>
      </c>
      <c r="AH11" s="64">
        <f t="shared" ref="AH11" si="98">AG11+1</f>
        <v>31</v>
      </c>
      <c r="AI11" s="64">
        <f t="shared" ref="AI11" si="99">AH11+1</f>
        <v>32</v>
      </c>
      <c r="AJ11" s="64">
        <f t="shared" ref="AJ11" si="100">AI11+1</f>
        <v>33</v>
      </c>
      <c r="AK11" s="64">
        <f t="shared" ref="AK11" si="101">AJ11+1</f>
        <v>34</v>
      </c>
      <c r="AL11" s="64">
        <f t="shared" ref="AL11" si="102">AK11+1</f>
        <v>35</v>
      </c>
      <c r="AM11" s="57"/>
    </row>
    <row r="12" spans="1:39" ht="16.149999999999999" customHeight="1" x14ac:dyDescent="0.2">
      <c r="A12" s="57"/>
      <c r="B12" s="72" t="s">
        <v>79</v>
      </c>
      <c r="C12" s="104">
        <f>SUM(D12:AL12)</f>
        <v>0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v>0</v>
      </c>
      <c r="AD12" s="106">
        <v>0</v>
      </c>
      <c r="AE12" s="106">
        <v>0</v>
      </c>
      <c r="AF12" s="106">
        <v>0</v>
      </c>
      <c r="AG12" s="106">
        <v>0</v>
      </c>
      <c r="AH12" s="106">
        <v>0</v>
      </c>
      <c r="AI12" s="106">
        <v>0</v>
      </c>
      <c r="AJ12" s="106">
        <v>0</v>
      </c>
      <c r="AK12" s="106">
        <v>0</v>
      </c>
      <c r="AL12" s="106">
        <v>0</v>
      </c>
      <c r="AM12" s="57"/>
    </row>
    <row r="13" spans="1:39" ht="16.149999999999999" customHeight="1" thickBot="1" x14ac:dyDescent="0.25">
      <c r="A13" s="57"/>
      <c r="B13" s="71" t="s">
        <v>39</v>
      </c>
      <c r="C13" s="102">
        <f>SUM(D13:AL13)</f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>
        <v>0</v>
      </c>
      <c r="AM13" s="57"/>
    </row>
    <row r="14" spans="1:39" ht="16.149999999999999" customHeight="1" thickBot="1" x14ac:dyDescent="0.3">
      <c r="A14" s="57"/>
      <c r="B14" s="69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ht="16.149999999999999" customHeight="1" thickBot="1" x14ac:dyDescent="0.3">
      <c r="A15" s="57"/>
      <c r="B15" s="63" t="s">
        <v>123</v>
      </c>
      <c r="C15" s="64" t="s">
        <v>164</v>
      </c>
      <c r="D15" s="64">
        <v>1</v>
      </c>
      <c r="E15" s="64">
        <f t="shared" ref="E15" si="103">D15+1</f>
        <v>2</v>
      </c>
      <c r="F15" s="64">
        <f t="shared" ref="F15" si="104">E15+1</f>
        <v>3</v>
      </c>
      <c r="G15" s="64">
        <f t="shared" ref="G15" si="105">F15+1</f>
        <v>4</v>
      </c>
      <c r="H15" s="64">
        <f t="shared" ref="H15" si="106">G15+1</f>
        <v>5</v>
      </c>
      <c r="I15" s="64">
        <f t="shared" ref="I15" si="107">H15+1</f>
        <v>6</v>
      </c>
      <c r="J15" s="64">
        <f t="shared" ref="J15" si="108">I15+1</f>
        <v>7</v>
      </c>
      <c r="K15" s="64">
        <f t="shared" ref="K15" si="109">J15+1</f>
        <v>8</v>
      </c>
      <c r="L15" s="64">
        <f t="shared" ref="L15" si="110">K15+1</f>
        <v>9</v>
      </c>
      <c r="M15" s="64">
        <f t="shared" ref="M15" si="111">L15+1</f>
        <v>10</v>
      </c>
      <c r="N15" s="64">
        <f t="shared" ref="N15" si="112">M15+1</f>
        <v>11</v>
      </c>
      <c r="O15" s="64">
        <f t="shared" ref="O15" si="113">N15+1</f>
        <v>12</v>
      </c>
      <c r="P15" s="64">
        <f t="shared" ref="P15" si="114">O15+1</f>
        <v>13</v>
      </c>
      <c r="Q15" s="64">
        <f t="shared" ref="Q15" si="115">P15+1</f>
        <v>14</v>
      </c>
      <c r="R15" s="64">
        <f t="shared" ref="R15" si="116">Q15+1</f>
        <v>15</v>
      </c>
      <c r="S15" s="64">
        <f t="shared" ref="S15" si="117">R15+1</f>
        <v>16</v>
      </c>
      <c r="T15" s="64">
        <f t="shared" ref="T15" si="118">S15+1</f>
        <v>17</v>
      </c>
      <c r="U15" s="64">
        <f t="shared" ref="U15" si="119">T15+1</f>
        <v>18</v>
      </c>
      <c r="V15" s="64">
        <f t="shared" ref="V15" si="120">U15+1</f>
        <v>19</v>
      </c>
      <c r="W15" s="64">
        <f t="shared" ref="W15" si="121">V15+1</f>
        <v>20</v>
      </c>
      <c r="X15" s="64">
        <f t="shared" ref="X15" si="122">W15+1</f>
        <v>21</v>
      </c>
      <c r="Y15" s="64">
        <f t="shared" ref="Y15" si="123">X15+1</f>
        <v>22</v>
      </c>
      <c r="Z15" s="64">
        <f t="shared" ref="Z15" si="124">Y15+1</f>
        <v>23</v>
      </c>
      <c r="AA15" s="64">
        <f t="shared" ref="AA15" si="125">Z15+1</f>
        <v>24</v>
      </c>
      <c r="AB15" s="64">
        <f t="shared" ref="AB15" si="126">AA15+1</f>
        <v>25</v>
      </c>
      <c r="AC15" s="64">
        <f t="shared" ref="AC15" si="127">AB15+1</f>
        <v>26</v>
      </c>
      <c r="AD15" s="64">
        <f t="shared" ref="AD15" si="128">AC15+1</f>
        <v>27</v>
      </c>
      <c r="AE15" s="64">
        <f t="shared" ref="AE15" si="129">AD15+1</f>
        <v>28</v>
      </c>
      <c r="AF15" s="64">
        <f t="shared" ref="AF15" si="130">AE15+1</f>
        <v>29</v>
      </c>
      <c r="AG15" s="64">
        <f t="shared" ref="AG15" si="131">AF15+1</f>
        <v>30</v>
      </c>
      <c r="AH15" s="64">
        <f t="shared" ref="AH15" si="132">AG15+1</f>
        <v>31</v>
      </c>
      <c r="AI15" s="64">
        <f t="shared" ref="AI15" si="133">AH15+1</f>
        <v>32</v>
      </c>
      <c r="AJ15" s="64">
        <f t="shared" ref="AJ15" si="134">AI15+1</f>
        <v>33</v>
      </c>
      <c r="AK15" s="64">
        <f t="shared" ref="AK15" si="135">AJ15+1</f>
        <v>34</v>
      </c>
      <c r="AL15" s="64">
        <f t="shared" ref="AL15" si="136">AK15+1</f>
        <v>35</v>
      </c>
      <c r="AM15" s="57"/>
    </row>
    <row r="16" spans="1:39" ht="16.149999999999999" customHeight="1" x14ac:dyDescent="0.2">
      <c r="A16" s="57"/>
      <c r="B16" s="72" t="s">
        <v>79</v>
      </c>
      <c r="C16" s="104">
        <f>SUM(D16:AL16)</f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57"/>
    </row>
    <row r="17" spans="1:39" ht="16.149999999999999" customHeight="1" thickBot="1" x14ac:dyDescent="0.25">
      <c r="A17" s="57"/>
      <c r="B17" s="71" t="s">
        <v>39</v>
      </c>
      <c r="C17" s="102">
        <f>SUM(D17:AL17)</f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0</v>
      </c>
      <c r="AM17" s="57"/>
    </row>
    <row r="18" spans="1:39" ht="16.149999999999999" customHeight="1" thickBot="1" x14ac:dyDescent="0.3">
      <c r="A18" s="57"/>
      <c r="B18" s="6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1:39" ht="16.149999999999999" customHeight="1" thickBot="1" x14ac:dyDescent="0.3">
      <c r="A19" s="57"/>
      <c r="B19" s="63" t="s">
        <v>124</v>
      </c>
      <c r="C19" s="64" t="s">
        <v>164</v>
      </c>
      <c r="D19" s="64">
        <v>1</v>
      </c>
      <c r="E19" s="64">
        <f t="shared" ref="E19" si="137">D19+1</f>
        <v>2</v>
      </c>
      <c r="F19" s="64">
        <f t="shared" ref="F19" si="138">E19+1</f>
        <v>3</v>
      </c>
      <c r="G19" s="64">
        <f t="shared" ref="G19" si="139">F19+1</f>
        <v>4</v>
      </c>
      <c r="H19" s="64">
        <f t="shared" ref="H19" si="140">G19+1</f>
        <v>5</v>
      </c>
      <c r="I19" s="64">
        <f t="shared" ref="I19" si="141">H19+1</f>
        <v>6</v>
      </c>
      <c r="J19" s="64">
        <f t="shared" ref="J19" si="142">I19+1</f>
        <v>7</v>
      </c>
      <c r="K19" s="64">
        <f t="shared" ref="K19" si="143">J19+1</f>
        <v>8</v>
      </c>
      <c r="L19" s="64">
        <f t="shared" ref="L19" si="144">K19+1</f>
        <v>9</v>
      </c>
      <c r="M19" s="64">
        <f t="shared" ref="M19" si="145">L19+1</f>
        <v>10</v>
      </c>
      <c r="N19" s="64">
        <f t="shared" ref="N19" si="146">M19+1</f>
        <v>11</v>
      </c>
      <c r="O19" s="64">
        <f t="shared" ref="O19" si="147">N19+1</f>
        <v>12</v>
      </c>
      <c r="P19" s="64">
        <f t="shared" ref="P19" si="148">O19+1</f>
        <v>13</v>
      </c>
      <c r="Q19" s="64">
        <f t="shared" ref="Q19" si="149">P19+1</f>
        <v>14</v>
      </c>
      <c r="R19" s="64">
        <f t="shared" ref="R19" si="150">Q19+1</f>
        <v>15</v>
      </c>
      <c r="S19" s="64">
        <f t="shared" ref="S19" si="151">R19+1</f>
        <v>16</v>
      </c>
      <c r="T19" s="64">
        <f t="shared" ref="T19" si="152">S19+1</f>
        <v>17</v>
      </c>
      <c r="U19" s="64">
        <f t="shared" ref="U19" si="153">T19+1</f>
        <v>18</v>
      </c>
      <c r="V19" s="64">
        <f t="shared" ref="V19" si="154">U19+1</f>
        <v>19</v>
      </c>
      <c r="W19" s="64">
        <f t="shared" ref="W19" si="155">V19+1</f>
        <v>20</v>
      </c>
      <c r="X19" s="64">
        <f t="shared" ref="X19" si="156">W19+1</f>
        <v>21</v>
      </c>
      <c r="Y19" s="64">
        <f t="shared" ref="Y19" si="157">X19+1</f>
        <v>22</v>
      </c>
      <c r="Z19" s="64">
        <f t="shared" ref="Z19" si="158">Y19+1</f>
        <v>23</v>
      </c>
      <c r="AA19" s="64">
        <f t="shared" ref="AA19" si="159">Z19+1</f>
        <v>24</v>
      </c>
      <c r="AB19" s="64">
        <f t="shared" ref="AB19" si="160">AA19+1</f>
        <v>25</v>
      </c>
      <c r="AC19" s="64">
        <f t="shared" ref="AC19" si="161">AB19+1</f>
        <v>26</v>
      </c>
      <c r="AD19" s="64">
        <f t="shared" ref="AD19" si="162">AC19+1</f>
        <v>27</v>
      </c>
      <c r="AE19" s="64">
        <f t="shared" ref="AE19" si="163">AD19+1</f>
        <v>28</v>
      </c>
      <c r="AF19" s="64">
        <f t="shared" ref="AF19" si="164">AE19+1</f>
        <v>29</v>
      </c>
      <c r="AG19" s="64">
        <f t="shared" ref="AG19" si="165">AF19+1</f>
        <v>30</v>
      </c>
      <c r="AH19" s="64">
        <f t="shared" ref="AH19" si="166">AG19+1</f>
        <v>31</v>
      </c>
      <c r="AI19" s="64">
        <f t="shared" ref="AI19" si="167">AH19+1</f>
        <v>32</v>
      </c>
      <c r="AJ19" s="64">
        <f t="shared" ref="AJ19" si="168">AI19+1</f>
        <v>33</v>
      </c>
      <c r="AK19" s="64">
        <f t="shared" ref="AK19" si="169">AJ19+1</f>
        <v>34</v>
      </c>
      <c r="AL19" s="64">
        <f t="shared" ref="AL19" si="170">AK19+1</f>
        <v>35</v>
      </c>
      <c r="AM19" s="57"/>
    </row>
    <row r="20" spans="1:39" ht="16.149999999999999" customHeight="1" x14ac:dyDescent="0.2">
      <c r="A20" s="57"/>
      <c r="B20" s="70" t="s">
        <v>79</v>
      </c>
      <c r="C20" s="100">
        <f>SUM(D20:AL20)</f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57"/>
    </row>
    <row r="21" spans="1:39" ht="16.149999999999999" customHeight="1" thickBot="1" x14ac:dyDescent="0.25">
      <c r="A21" s="57"/>
      <c r="B21" s="71" t="s">
        <v>39</v>
      </c>
      <c r="C21" s="102">
        <f>SUM(D21:AL21)</f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57"/>
    </row>
    <row r="22" spans="1:39" ht="16.149999999999999" customHeight="1" thickBot="1" x14ac:dyDescent="0.3">
      <c r="A22" s="57"/>
      <c r="B22" s="6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</row>
    <row r="23" spans="1:39" ht="16.149999999999999" customHeight="1" thickBot="1" x14ac:dyDescent="0.3">
      <c r="A23" s="57"/>
      <c r="B23" s="63" t="s">
        <v>125</v>
      </c>
      <c r="C23" s="64" t="s">
        <v>164</v>
      </c>
      <c r="D23" s="64">
        <v>1</v>
      </c>
      <c r="E23" s="64">
        <f t="shared" ref="E23" si="171">D23+1</f>
        <v>2</v>
      </c>
      <c r="F23" s="64">
        <f t="shared" ref="F23" si="172">E23+1</f>
        <v>3</v>
      </c>
      <c r="G23" s="64">
        <f t="shared" ref="G23" si="173">F23+1</f>
        <v>4</v>
      </c>
      <c r="H23" s="64">
        <f t="shared" ref="H23" si="174">G23+1</f>
        <v>5</v>
      </c>
      <c r="I23" s="64">
        <f t="shared" ref="I23" si="175">H23+1</f>
        <v>6</v>
      </c>
      <c r="J23" s="64">
        <f t="shared" ref="J23" si="176">I23+1</f>
        <v>7</v>
      </c>
      <c r="K23" s="64">
        <f t="shared" ref="K23" si="177">J23+1</f>
        <v>8</v>
      </c>
      <c r="L23" s="64">
        <f t="shared" ref="L23" si="178">K23+1</f>
        <v>9</v>
      </c>
      <c r="M23" s="64">
        <f t="shared" ref="M23" si="179">L23+1</f>
        <v>10</v>
      </c>
      <c r="N23" s="64">
        <f t="shared" ref="N23" si="180">M23+1</f>
        <v>11</v>
      </c>
      <c r="O23" s="64">
        <f t="shared" ref="O23" si="181">N23+1</f>
        <v>12</v>
      </c>
      <c r="P23" s="64">
        <f t="shared" ref="P23" si="182">O23+1</f>
        <v>13</v>
      </c>
      <c r="Q23" s="64">
        <f t="shared" ref="Q23" si="183">P23+1</f>
        <v>14</v>
      </c>
      <c r="R23" s="64">
        <f t="shared" ref="R23" si="184">Q23+1</f>
        <v>15</v>
      </c>
      <c r="S23" s="64">
        <f t="shared" ref="S23" si="185">R23+1</f>
        <v>16</v>
      </c>
      <c r="T23" s="64">
        <f t="shared" ref="T23" si="186">S23+1</f>
        <v>17</v>
      </c>
      <c r="U23" s="64">
        <f t="shared" ref="U23" si="187">T23+1</f>
        <v>18</v>
      </c>
      <c r="V23" s="64">
        <f t="shared" ref="V23" si="188">U23+1</f>
        <v>19</v>
      </c>
      <c r="W23" s="64">
        <f t="shared" ref="W23" si="189">V23+1</f>
        <v>20</v>
      </c>
      <c r="X23" s="64">
        <f t="shared" ref="X23" si="190">W23+1</f>
        <v>21</v>
      </c>
      <c r="Y23" s="64">
        <f t="shared" ref="Y23" si="191">X23+1</f>
        <v>22</v>
      </c>
      <c r="Z23" s="64">
        <f t="shared" ref="Z23" si="192">Y23+1</f>
        <v>23</v>
      </c>
      <c r="AA23" s="64">
        <f t="shared" ref="AA23" si="193">Z23+1</f>
        <v>24</v>
      </c>
      <c r="AB23" s="64">
        <f t="shared" ref="AB23" si="194">AA23+1</f>
        <v>25</v>
      </c>
      <c r="AC23" s="64">
        <f t="shared" ref="AC23" si="195">AB23+1</f>
        <v>26</v>
      </c>
      <c r="AD23" s="64">
        <f t="shared" ref="AD23" si="196">AC23+1</f>
        <v>27</v>
      </c>
      <c r="AE23" s="64">
        <f t="shared" ref="AE23" si="197">AD23+1</f>
        <v>28</v>
      </c>
      <c r="AF23" s="64">
        <f t="shared" ref="AF23" si="198">AE23+1</f>
        <v>29</v>
      </c>
      <c r="AG23" s="64">
        <f t="shared" ref="AG23" si="199">AF23+1</f>
        <v>30</v>
      </c>
      <c r="AH23" s="64">
        <f t="shared" ref="AH23" si="200">AG23+1</f>
        <v>31</v>
      </c>
      <c r="AI23" s="64">
        <f t="shared" ref="AI23" si="201">AH23+1</f>
        <v>32</v>
      </c>
      <c r="AJ23" s="64">
        <f t="shared" ref="AJ23" si="202">AI23+1</f>
        <v>33</v>
      </c>
      <c r="AK23" s="64">
        <f t="shared" ref="AK23" si="203">AJ23+1</f>
        <v>34</v>
      </c>
      <c r="AL23" s="64">
        <f t="shared" ref="AL23" si="204">AK23+1</f>
        <v>35</v>
      </c>
      <c r="AM23" s="57"/>
    </row>
    <row r="24" spans="1:39" ht="16.149999999999999" customHeight="1" x14ac:dyDescent="0.2">
      <c r="A24" s="57"/>
      <c r="B24" s="70" t="s">
        <v>79</v>
      </c>
      <c r="C24" s="100">
        <f>SUM(D24:AL24)</f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57"/>
    </row>
    <row r="25" spans="1:39" ht="16.149999999999999" customHeight="1" thickBot="1" x14ac:dyDescent="0.25">
      <c r="A25" s="57"/>
      <c r="B25" s="71" t="s">
        <v>39</v>
      </c>
      <c r="C25" s="102">
        <f>SUM(D25:AL25)</f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>
        <v>0</v>
      </c>
      <c r="AM25" s="57"/>
    </row>
    <row r="26" spans="1:39" ht="16.149999999999999" customHeight="1" thickBot="1" x14ac:dyDescent="0.3">
      <c r="A26" s="57"/>
      <c r="B26" s="6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1:39" ht="16.149999999999999" customHeight="1" thickBot="1" x14ac:dyDescent="0.3">
      <c r="A27" s="57"/>
      <c r="B27" s="63" t="s">
        <v>126</v>
      </c>
      <c r="C27" s="64" t="s">
        <v>164</v>
      </c>
      <c r="D27" s="64">
        <v>1</v>
      </c>
      <c r="E27" s="64">
        <f t="shared" ref="E27" si="205">D27+1</f>
        <v>2</v>
      </c>
      <c r="F27" s="64">
        <f t="shared" ref="F27" si="206">E27+1</f>
        <v>3</v>
      </c>
      <c r="G27" s="64">
        <f t="shared" ref="G27" si="207">F27+1</f>
        <v>4</v>
      </c>
      <c r="H27" s="64">
        <f t="shared" ref="H27" si="208">G27+1</f>
        <v>5</v>
      </c>
      <c r="I27" s="64">
        <f t="shared" ref="I27" si="209">H27+1</f>
        <v>6</v>
      </c>
      <c r="J27" s="64">
        <f t="shared" ref="J27" si="210">I27+1</f>
        <v>7</v>
      </c>
      <c r="K27" s="64">
        <f t="shared" ref="K27" si="211">J27+1</f>
        <v>8</v>
      </c>
      <c r="L27" s="64">
        <f t="shared" ref="L27" si="212">K27+1</f>
        <v>9</v>
      </c>
      <c r="M27" s="64">
        <f t="shared" ref="M27" si="213">L27+1</f>
        <v>10</v>
      </c>
      <c r="N27" s="64">
        <f t="shared" ref="N27" si="214">M27+1</f>
        <v>11</v>
      </c>
      <c r="O27" s="64">
        <f t="shared" ref="O27" si="215">N27+1</f>
        <v>12</v>
      </c>
      <c r="P27" s="64">
        <f t="shared" ref="P27" si="216">O27+1</f>
        <v>13</v>
      </c>
      <c r="Q27" s="64">
        <f t="shared" ref="Q27" si="217">P27+1</f>
        <v>14</v>
      </c>
      <c r="R27" s="64">
        <f t="shared" ref="R27" si="218">Q27+1</f>
        <v>15</v>
      </c>
      <c r="S27" s="64">
        <f t="shared" ref="S27" si="219">R27+1</f>
        <v>16</v>
      </c>
      <c r="T27" s="64">
        <f t="shared" ref="T27" si="220">S27+1</f>
        <v>17</v>
      </c>
      <c r="U27" s="64">
        <f t="shared" ref="U27" si="221">T27+1</f>
        <v>18</v>
      </c>
      <c r="V27" s="64">
        <f t="shared" ref="V27" si="222">U27+1</f>
        <v>19</v>
      </c>
      <c r="W27" s="64">
        <f t="shared" ref="W27" si="223">V27+1</f>
        <v>20</v>
      </c>
      <c r="X27" s="64">
        <f t="shared" ref="X27" si="224">W27+1</f>
        <v>21</v>
      </c>
      <c r="Y27" s="64">
        <f t="shared" ref="Y27" si="225">X27+1</f>
        <v>22</v>
      </c>
      <c r="Z27" s="64">
        <f t="shared" ref="Z27" si="226">Y27+1</f>
        <v>23</v>
      </c>
      <c r="AA27" s="64">
        <f t="shared" ref="AA27" si="227">Z27+1</f>
        <v>24</v>
      </c>
      <c r="AB27" s="64">
        <f t="shared" ref="AB27" si="228">AA27+1</f>
        <v>25</v>
      </c>
      <c r="AC27" s="64">
        <f t="shared" ref="AC27" si="229">AB27+1</f>
        <v>26</v>
      </c>
      <c r="AD27" s="64">
        <f t="shared" ref="AD27" si="230">AC27+1</f>
        <v>27</v>
      </c>
      <c r="AE27" s="64">
        <f t="shared" ref="AE27" si="231">AD27+1</f>
        <v>28</v>
      </c>
      <c r="AF27" s="64">
        <f t="shared" ref="AF27" si="232">AE27+1</f>
        <v>29</v>
      </c>
      <c r="AG27" s="64">
        <f t="shared" ref="AG27" si="233">AF27+1</f>
        <v>30</v>
      </c>
      <c r="AH27" s="64">
        <f t="shared" ref="AH27" si="234">AG27+1</f>
        <v>31</v>
      </c>
      <c r="AI27" s="64">
        <f t="shared" ref="AI27" si="235">AH27+1</f>
        <v>32</v>
      </c>
      <c r="AJ27" s="64">
        <f t="shared" ref="AJ27" si="236">AI27+1</f>
        <v>33</v>
      </c>
      <c r="AK27" s="64">
        <f t="shared" ref="AK27" si="237">AJ27+1</f>
        <v>34</v>
      </c>
      <c r="AL27" s="64">
        <f t="shared" ref="AL27" si="238">AK27+1</f>
        <v>35</v>
      </c>
      <c r="AM27" s="57"/>
    </row>
    <row r="28" spans="1:39" ht="16.149999999999999" customHeight="1" x14ac:dyDescent="0.2">
      <c r="A28" s="57"/>
      <c r="B28" s="70" t="s">
        <v>79</v>
      </c>
      <c r="C28" s="100">
        <f>SUM(D28:AL28)</f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0</v>
      </c>
      <c r="AH28" s="105">
        <v>0</v>
      </c>
      <c r="AI28" s="105">
        <v>0</v>
      </c>
      <c r="AJ28" s="105">
        <v>0</v>
      </c>
      <c r="AK28" s="105">
        <v>0</v>
      </c>
      <c r="AL28" s="105">
        <v>0</v>
      </c>
      <c r="AM28" s="57"/>
    </row>
    <row r="29" spans="1:39" ht="16.149999999999999" customHeight="1" thickBot="1" x14ac:dyDescent="0.25">
      <c r="A29" s="57"/>
      <c r="B29" s="71" t="s">
        <v>39</v>
      </c>
      <c r="C29" s="102">
        <f>SUM(D29:AL29)</f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0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>
        <v>0</v>
      </c>
      <c r="AM29" s="57"/>
    </row>
    <row r="30" spans="1:39" ht="16.149999999999999" customHeight="1" x14ac:dyDescent="0.25">
      <c r="A30" s="163" t="s">
        <v>223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</row>
    <row r="31" spans="1:39" ht="16.149999999999999" hidden="1" customHeight="1" x14ac:dyDescent="0.2"/>
  </sheetData>
  <sheetProtection password="D79C" sheet="1" objects="1" scenarios="1"/>
  <conditionalFormatting sqref="B2">
    <cfRule type="expression" dxfId="9" priority="1">
      <formula>$B$2="Check Principal Payment Values"</formula>
    </cfRule>
  </conditionalFormatting>
  <dataValidations count="1">
    <dataValidation type="custom" allowBlank="1" showInputMessage="1" showErrorMessage="1" error="Loan payment must be a positive number or zero with a maximum of five decimal places." sqref="D12:AL13 D16:AL17 D20:AL21 D24:AL25 D28:AL29">
      <formula1>AND(D12=INT(D12*100000)/100000,D12&gt;=0,INT(D12)&lt;=9999999999999)</formula1>
    </dataValidation>
  </dataValidations>
  <pageMargins left="0.7" right="0.7" top="0.75" bottom="0.75" header="0.3" footer="0.3"/>
  <pageSetup scale="19" orientation="landscape" r:id="rId1"/>
  <ignoredErrors>
    <ignoredError sqref="C12:C13 C14 C18 C22 C26 C16:C17 C20:C21 C24:C25 C28:C29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errorStyle="warning" allowBlank="1" showInputMessage="1" showErrorMessage="1" error="Test">
          <x14:formula1>
            <xm:f>AND(Section5!C16="No",C4=Section5!C13)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7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72" style="47" bestFit="1" customWidth="1"/>
    <col min="3" max="3" width="30.7109375" style="47" customWidth="1"/>
    <col min="4" max="4" width="10.7109375" style="47" customWidth="1"/>
    <col min="5" max="5" width="10.5703125" style="47" hidden="1" customWidth="1"/>
    <col min="6" max="16384" width="8.85546875" style="47" hidden="1"/>
  </cols>
  <sheetData>
    <row r="1" spans="1:4" ht="16.149999999999999" customHeight="1" thickBot="1" x14ac:dyDescent="0.25">
      <c r="A1" s="57" t="s">
        <v>226</v>
      </c>
      <c r="B1" s="57"/>
      <c r="C1" s="57"/>
      <c r="D1" s="57"/>
    </row>
    <row r="2" spans="1:4" ht="16.149999999999999" customHeight="1" thickBot="1" x14ac:dyDescent="0.3">
      <c r="A2" s="57"/>
      <c r="B2" s="48" t="s">
        <v>172</v>
      </c>
      <c r="C2" s="49"/>
      <c r="D2" s="57"/>
    </row>
    <row r="3" spans="1:4" ht="16.149999999999999" customHeight="1" x14ac:dyDescent="0.2">
      <c r="A3" s="57"/>
      <c r="B3" s="73" t="s">
        <v>204</v>
      </c>
      <c r="C3" s="121">
        <f>IF(AND(VLOOKUP(Section1!$C$12,DropDown!$B$9:$C$29,2,FALSE)="Non ELCC",Section1!$C$13&gt;5),Section2!C22-Section2!C4,IF(AND(VLOOKUP(Section1!$C$12,DropDown!$B$9:$C$29,2,FALSE)="ELCC",Section1!$C$15&gt;5),Section2!C22-Section2!C4,Section2!C22))</f>
        <v>330939.00000000006</v>
      </c>
      <c r="D3" s="57"/>
    </row>
    <row r="4" spans="1:4" ht="16.149999999999999" customHeight="1" x14ac:dyDescent="0.2">
      <c r="A4" s="57"/>
      <c r="B4" s="74" t="s">
        <v>205</v>
      </c>
      <c r="C4" s="109">
        <f>1-C14*0.5</f>
        <v>1</v>
      </c>
      <c r="D4" s="57"/>
    </row>
    <row r="5" spans="1:4" ht="16.149999999999999" customHeight="1" thickBot="1" x14ac:dyDescent="0.25">
      <c r="A5" s="57"/>
      <c r="B5" s="75" t="s">
        <v>206</v>
      </c>
      <c r="C5" s="122">
        <f>C3*C4</f>
        <v>330939.00000000006</v>
      </c>
      <c r="D5" s="57"/>
    </row>
    <row r="6" spans="1:4" ht="16.149999999999999" customHeight="1" thickBot="1" x14ac:dyDescent="0.25">
      <c r="A6" s="57"/>
      <c r="B6" s="57"/>
      <c r="C6" s="57"/>
      <c r="D6" s="57"/>
    </row>
    <row r="7" spans="1:4" ht="16.149999999999999" customHeight="1" thickBot="1" x14ac:dyDescent="0.3">
      <c r="A7" s="57"/>
      <c r="B7" s="48" t="s">
        <v>159</v>
      </c>
      <c r="C7" s="49"/>
      <c r="D7" s="57"/>
    </row>
    <row r="8" spans="1:4" ht="16.149999999999999" customHeight="1" thickBot="1" x14ac:dyDescent="0.25">
      <c r="A8" s="57"/>
      <c r="B8" s="52" t="s">
        <v>176</v>
      </c>
      <c r="C8" s="46" t="s">
        <v>43</v>
      </c>
      <c r="D8" s="57" t="str">
        <f>IF(AND(Section1!C6="Energy Efficiency Resource",Section7!C8="No"),"Check","")</f>
        <v/>
      </c>
    </row>
    <row r="9" spans="1:4" ht="16.149999999999999" customHeight="1" thickBot="1" x14ac:dyDescent="0.3">
      <c r="A9" s="128"/>
      <c r="B9" s="57"/>
      <c r="C9" s="57"/>
      <c r="D9" s="57"/>
    </row>
    <row r="10" spans="1:4" ht="16.149999999999999" customHeight="1" thickBot="1" x14ac:dyDescent="0.3">
      <c r="A10" s="128"/>
      <c r="B10" s="48" t="s">
        <v>209</v>
      </c>
      <c r="C10" s="49"/>
      <c r="D10" s="57"/>
    </row>
    <row r="11" spans="1:4" ht="16.149999999999999" customHeight="1" x14ac:dyDescent="0.25">
      <c r="A11" s="128"/>
      <c r="B11" s="86" t="s">
        <v>211</v>
      </c>
      <c r="C11" s="127" t="s">
        <v>141</v>
      </c>
      <c r="D11" s="57" t="str">
        <f>IF(AND(Section1!$C$22&lt;&gt;"Investment Tax Credit",OR(C11="Yes",C11="No")),"Check","")</f>
        <v/>
      </c>
    </row>
    <row r="12" spans="1:4" ht="16.149999999999999" customHeight="1" x14ac:dyDescent="0.25">
      <c r="A12" s="128"/>
      <c r="B12" s="125" t="s">
        <v>212</v>
      </c>
      <c r="C12" s="44"/>
      <c r="D12" s="57" t="str">
        <f>IF(AND(Section1!$C$22&lt;&gt;"Investment Tax Credit",ISNUMBER(C12)),"Check","")</f>
        <v/>
      </c>
    </row>
    <row r="13" spans="1:4" ht="16.149999999999999" customHeight="1" x14ac:dyDescent="0.25">
      <c r="A13" s="128"/>
      <c r="B13" s="74" t="s">
        <v>213</v>
      </c>
      <c r="C13" s="126">
        <f>IF(AND(OR(VLOOKUP(Section1!C12,DropDown!B9:D29,3,FALSE)="Tax Credit Eligible",VLOOKUP(Section1!C12,DropDown!B9:D29,3,FALSE)="ITC Only"),Section1!C22="Investment Tax Credit",C11="Yes"),C12,IF(AND(OR(VLOOKUP(Section1!C12,DropDown!B9:D29,3,FALSE)="Tax Credit Eligible",VLOOKUP(Section1!C12,DropDown!B9:D29,3,FALSE)="ITC Only"),Section1!C22="Investment Tax Credit",C11&lt;&gt;"Yes"),Section2!C22,0))</f>
        <v>0</v>
      </c>
      <c r="D13" s="57"/>
    </row>
    <row r="14" spans="1:4" ht="16.149999999999999" customHeight="1" x14ac:dyDescent="0.25">
      <c r="A14" s="128"/>
      <c r="B14" s="125" t="s">
        <v>201</v>
      </c>
      <c r="C14" s="109">
        <f>IF(AND(OR(VLOOKUP(Section1!C12,DropDown!B9:D29,3,FALSE)="Tax Credit Eligible",VLOOKUP(Section1!C12,DropDown!B9:D29,3,FALSE)="ITC Only"),Section1!C22="Investment Tax Credit",Section1!$C$24&gt;=2022),(VLOOKUP(Section1!C12,DepreciationITCLookUp!B9:Q20,MATCH(Section1!$C$24,DepreciationITCLookUp!B8:Q8,0),FALSE)),IF(AND(OR(VLOOKUP(Section1!C12,DropDown!B9:D29,3,FALSE)="Tax Credit Eligible",VLOOKUP(Section1!C12,DropDown!B9:D29,3,FALSE)="ITC Only"),Section1!C22="Investment Tax Credit",Section1!$C$24&lt;2022),(VLOOKUP(Section1!C12,DepreciationITCLookUp!B9:Q20,MATCH(Section1!$C$23,DepreciationITCLookUp!B8:Q8,0),FALSE)),0))</f>
        <v>0</v>
      </c>
      <c r="D14" s="57"/>
    </row>
    <row r="15" spans="1:4" ht="16.149999999999999" customHeight="1" thickBot="1" x14ac:dyDescent="0.3">
      <c r="A15" s="128"/>
      <c r="B15" s="87" t="s">
        <v>207</v>
      </c>
      <c r="C15" s="122">
        <f>C13*C14</f>
        <v>0</v>
      </c>
      <c r="D15" s="57"/>
    </row>
    <row r="16" spans="1:4" ht="16.149999999999999" customHeight="1" x14ac:dyDescent="0.25">
      <c r="A16" s="128" t="s">
        <v>223</v>
      </c>
      <c r="B16" s="57"/>
      <c r="C16" s="57"/>
      <c r="D16" s="57"/>
    </row>
    <row r="17" ht="16.149999999999999" hidden="1" customHeight="1" x14ac:dyDescent="0.2"/>
  </sheetData>
  <sheetProtection password="D79C" sheet="1" objects="1" scenarios="1"/>
  <conditionalFormatting sqref="D11">
    <cfRule type="expression" dxfId="8" priority="3">
      <formula>D11="Check"</formula>
    </cfRule>
  </conditionalFormatting>
  <conditionalFormatting sqref="D8">
    <cfRule type="expression" dxfId="7" priority="2">
      <formula>D8="Check"</formula>
    </cfRule>
  </conditionalFormatting>
  <conditionalFormatting sqref="D12">
    <cfRule type="expression" dxfId="6" priority="1">
      <formula>D12="Check"</formula>
    </cfRule>
  </conditionalFormatting>
  <dataValidations count="1">
    <dataValidation type="custom" allowBlank="1" showInputMessage="1" showErrorMessage="1" error="Capital Cost must be a positive number or zero with a maximum of five decimal places." sqref="C12">
      <formula1>AND(C12=INT(C12*100000)/100000,C12&gt;=0,INT(C12)&lt;=9999999999999)</formula1>
    </dataValidation>
  </dataValidations>
  <pageMargins left="0.7" right="0.7" top="0.75" bottom="0.75" header="0.3" footer="0.3"/>
  <pageSetup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IF(OR(Section1!$C$6="Generation",Section1!$C$6="Demand Resource"),DropDown!$B$3:$B$5,DropDown!$B$156:$B$157)</xm:f>
          </x14:formula1>
          <xm:sqref>C8</xm:sqref>
        </x14:dataValidation>
        <x14:dataValidation type="list" allowBlank="1" showInputMessage="1" showErrorMessage="1">
          <x14:formula1>
            <xm:f>IF(AND(OR(VLOOKUP(Section1!C12,DropDown!B9:D29,3,FALSE)="Tax Credit Eligible",VLOOKUP(Section1!C12,DropDown!B9:D29,3,FALSE)="ITC Only"),Section1!C22="Investment Tax Credit"),TaxCreditEligible2,NotTaxCreditEligible)</xm:f>
          </x14:formula1>
          <xm:sqref>C11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N26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42.85546875" style="47" bestFit="1" customWidth="1"/>
    <col min="3" max="3" width="21.7109375" style="47" customWidth="1"/>
    <col min="4" max="38" width="15.7109375" style="47" customWidth="1"/>
    <col min="39" max="39" width="10.7109375" style="47" customWidth="1"/>
    <col min="40" max="40" width="0" style="47" hidden="1" customWidth="1"/>
    <col min="41" max="16384" width="8.85546875" style="47" hidden="1"/>
  </cols>
  <sheetData>
    <row r="1" spans="1:39" ht="16.149999999999999" customHeight="1" x14ac:dyDescent="0.25">
      <c r="A1" s="57" t="s">
        <v>226</v>
      </c>
      <c r="B1" s="165" t="s">
        <v>29</v>
      </c>
      <c r="C1" s="165"/>
      <c r="D1" s="165"/>
      <c r="E1" s="165"/>
      <c r="F1" s="165"/>
      <c r="G1" s="165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6.149999999999999" customHeight="1" thickBot="1" x14ac:dyDescent="0.3">
      <c r="A2" s="57"/>
      <c r="B2" s="69" t="str">
        <f>IF(AND(Section7!C8="Yes",Section8!C24&lt;&gt;Section7!C5),"Check Custom Depreciation Values","")</f>
        <v/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 ht="16.149999999999999" customHeight="1" thickBot="1" x14ac:dyDescent="0.3">
      <c r="A3" s="57"/>
      <c r="B3" s="63" t="s">
        <v>102</v>
      </c>
      <c r="C3" s="64" t="s">
        <v>164</v>
      </c>
      <c r="D3" s="64">
        <v>1</v>
      </c>
      <c r="E3" s="64">
        <f t="shared" ref="E3:AL3" si="0">D3+1</f>
        <v>2</v>
      </c>
      <c r="F3" s="64">
        <f t="shared" si="0"/>
        <v>3</v>
      </c>
      <c r="G3" s="64">
        <f t="shared" si="0"/>
        <v>4</v>
      </c>
      <c r="H3" s="64">
        <f t="shared" si="0"/>
        <v>5</v>
      </c>
      <c r="I3" s="64">
        <f t="shared" si="0"/>
        <v>6</v>
      </c>
      <c r="J3" s="64">
        <f t="shared" si="0"/>
        <v>7</v>
      </c>
      <c r="K3" s="64">
        <f t="shared" si="0"/>
        <v>8</v>
      </c>
      <c r="L3" s="64">
        <f t="shared" si="0"/>
        <v>9</v>
      </c>
      <c r="M3" s="64">
        <f t="shared" si="0"/>
        <v>10</v>
      </c>
      <c r="N3" s="64">
        <f t="shared" si="0"/>
        <v>11</v>
      </c>
      <c r="O3" s="64">
        <f t="shared" si="0"/>
        <v>12</v>
      </c>
      <c r="P3" s="64">
        <f t="shared" si="0"/>
        <v>13</v>
      </c>
      <c r="Q3" s="64">
        <f t="shared" si="0"/>
        <v>14</v>
      </c>
      <c r="R3" s="64">
        <f t="shared" si="0"/>
        <v>15</v>
      </c>
      <c r="S3" s="64">
        <f t="shared" si="0"/>
        <v>16</v>
      </c>
      <c r="T3" s="64">
        <f t="shared" si="0"/>
        <v>17</v>
      </c>
      <c r="U3" s="64">
        <f t="shared" si="0"/>
        <v>18</v>
      </c>
      <c r="V3" s="64">
        <f t="shared" si="0"/>
        <v>19</v>
      </c>
      <c r="W3" s="64">
        <f t="shared" si="0"/>
        <v>20</v>
      </c>
      <c r="X3" s="64">
        <f t="shared" si="0"/>
        <v>21</v>
      </c>
      <c r="Y3" s="64">
        <f t="shared" si="0"/>
        <v>22</v>
      </c>
      <c r="Z3" s="64">
        <f t="shared" si="0"/>
        <v>23</v>
      </c>
      <c r="AA3" s="64">
        <f t="shared" si="0"/>
        <v>24</v>
      </c>
      <c r="AB3" s="64">
        <f t="shared" si="0"/>
        <v>25</v>
      </c>
      <c r="AC3" s="64">
        <f t="shared" si="0"/>
        <v>26</v>
      </c>
      <c r="AD3" s="64">
        <f t="shared" si="0"/>
        <v>27</v>
      </c>
      <c r="AE3" s="64">
        <f t="shared" si="0"/>
        <v>28</v>
      </c>
      <c r="AF3" s="64">
        <f t="shared" si="0"/>
        <v>29</v>
      </c>
      <c r="AG3" s="64">
        <f t="shared" si="0"/>
        <v>30</v>
      </c>
      <c r="AH3" s="64">
        <f t="shared" si="0"/>
        <v>31</v>
      </c>
      <c r="AI3" s="64">
        <f t="shared" si="0"/>
        <v>32</v>
      </c>
      <c r="AJ3" s="64">
        <f t="shared" si="0"/>
        <v>33</v>
      </c>
      <c r="AK3" s="64">
        <f t="shared" si="0"/>
        <v>34</v>
      </c>
      <c r="AL3" s="64">
        <f t="shared" si="0"/>
        <v>35</v>
      </c>
      <c r="AM3" s="57"/>
    </row>
    <row r="4" spans="1:39" ht="16.149999999999999" customHeight="1" thickBot="1" x14ac:dyDescent="0.25">
      <c r="A4" s="57"/>
      <c r="B4" s="76" t="s">
        <v>103</v>
      </c>
      <c r="C4" s="108">
        <f>SUM(D4:AL4)</f>
        <v>330939.00000000012</v>
      </c>
      <c r="D4" s="54">
        <f>IF(Section7!$C$8="No",D13,D24)</f>
        <v>79425.360000000015</v>
      </c>
      <c r="E4" s="54">
        <f>IF(Section7!$C$8="No",E13,E24)</f>
        <v>25151.364000000005</v>
      </c>
      <c r="F4" s="54">
        <f>IF(Section7!$C$8="No",F13,F24)</f>
        <v>22636.227600000006</v>
      </c>
      <c r="G4" s="54">
        <f>IF(Section7!$C$8="No",G13,G24)</f>
        <v>20372.604840000004</v>
      </c>
      <c r="H4" s="54">
        <f>IF(Section7!$C$8="No",H13,H24)</f>
        <v>18335.344356000005</v>
      </c>
      <c r="I4" s="54">
        <f>IF(Section7!$C$8="No",I13,I24)</f>
        <v>16501.809920400003</v>
      </c>
      <c r="J4" s="54">
        <f>IF(Section7!$C$8="No",J13,J24)</f>
        <v>15633.293608800002</v>
      </c>
      <c r="K4" s="54">
        <f>IF(Section7!$C$8="No",K13,K24)</f>
        <v>15633.293608800002</v>
      </c>
      <c r="L4" s="54">
        <f>IF(Section7!$C$8="No",L13,L24)</f>
        <v>15633.293608800002</v>
      </c>
      <c r="M4" s="54">
        <f>IF(Section7!$C$8="No",M13,M24)</f>
        <v>15633.293608800002</v>
      </c>
      <c r="N4" s="54">
        <f>IF(Section7!$C$8="No",N13,N24)</f>
        <v>15633.293608800002</v>
      </c>
      <c r="O4" s="54">
        <f>IF(Section7!$C$8="No",O13,O24)</f>
        <v>15633.293608800002</v>
      </c>
      <c r="P4" s="54">
        <f>IF(Section7!$C$8="No",P13,P24)</f>
        <v>15633.293608800002</v>
      </c>
      <c r="Q4" s="54">
        <f>IF(Section7!$C$8="No",Q13,Q24)</f>
        <v>15633.293608800002</v>
      </c>
      <c r="R4" s="54">
        <f>IF(Section7!$C$8="No",R13,R24)</f>
        <v>15633.293608800002</v>
      </c>
      <c r="S4" s="54">
        <f>IF(Section7!$C$8="No",S13,S24)</f>
        <v>7816.6468044000012</v>
      </c>
      <c r="T4" s="54">
        <f>IF(Section7!$C$8="No",T13,T24)</f>
        <v>0</v>
      </c>
      <c r="U4" s="54">
        <f>IF(Section7!$C$8="No",U13,U24)</f>
        <v>0</v>
      </c>
      <c r="V4" s="54">
        <f>IF(Section7!$C$8="No",V13,V24)</f>
        <v>0</v>
      </c>
      <c r="W4" s="54">
        <f>IF(Section7!$C$8="No",W13,W24)</f>
        <v>0</v>
      </c>
      <c r="X4" s="54">
        <f>IF(Section7!$C$8="No",X13,X24)</f>
        <v>0</v>
      </c>
      <c r="Y4" s="54">
        <f>IF(Section7!$C$8="No",Y13,Y24)</f>
        <v>0</v>
      </c>
      <c r="Z4" s="54">
        <f>IF(Section7!$C$8="No",Z13,Z24)</f>
        <v>0</v>
      </c>
      <c r="AA4" s="54">
        <f>IF(Section7!$C$8="No",AA13,AA24)</f>
        <v>0</v>
      </c>
      <c r="AB4" s="54">
        <f>IF(Section7!$C$8="No",AB13,AB24)</f>
        <v>0</v>
      </c>
      <c r="AC4" s="54">
        <f>IF(Section7!$C$8="No",AC13,AC24)</f>
        <v>0</v>
      </c>
      <c r="AD4" s="54">
        <f>IF(Section7!$C$8="No",AD13,AD24)</f>
        <v>0</v>
      </c>
      <c r="AE4" s="54">
        <f>IF(Section7!$C$8="No",AE13,AE24)</f>
        <v>0</v>
      </c>
      <c r="AF4" s="54">
        <f>IF(Section7!$C$8="No",AF13,AF24)</f>
        <v>0</v>
      </c>
      <c r="AG4" s="54">
        <f>IF(Section7!$C$8="No",AG13,AG24)</f>
        <v>0</v>
      </c>
      <c r="AH4" s="54">
        <f>IF(Section7!$C$8="No",AH13,AH24)</f>
        <v>0</v>
      </c>
      <c r="AI4" s="54">
        <f>IF(Section7!$C$8="No",AI13,AI24)</f>
        <v>0</v>
      </c>
      <c r="AJ4" s="54">
        <f>IF(Section7!$C$8="No",AJ13,AJ24)</f>
        <v>0</v>
      </c>
      <c r="AK4" s="54">
        <f>IF(Section7!$C$8="No",AK13,AK24)</f>
        <v>0</v>
      </c>
      <c r="AL4" s="54">
        <f>IF(Section7!$C$8="No",AL13,AL24)</f>
        <v>0</v>
      </c>
      <c r="AM4" s="57"/>
    </row>
    <row r="5" spans="1:39" ht="16.149999999999999" customHeight="1" thickBot="1" x14ac:dyDescent="0.25">
      <c r="A5" s="57"/>
      <c r="B5" s="77"/>
      <c r="C5" s="78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</row>
    <row r="6" spans="1:39" ht="16.149999999999999" customHeight="1" thickBot="1" x14ac:dyDescent="0.3">
      <c r="A6" s="57"/>
      <c r="B6" s="63" t="s">
        <v>98</v>
      </c>
      <c r="C6" s="64" t="s">
        <v>85</v>
      </c>
      <c r="D6" s="64">
        <v>1</v>
      </c>
      <c r="E6" s="64">
        <f>D6+1</f>
        <v>2</v>
      </c>
      <c r="F6" s="64">
        <f t="shared" ref="F6:W6" si="1">E6+1</f>
        <v>3</v>
      </c>
      <c r="G6" s="64">
        <f t="shared" si="1"/>
        <v>4</v>
      </c>
      <c r="H6" s="64">
        <f t="shared" si="1"/>
        <v>5</v>
      </c>
      <c r="I6" s="64">
        <f t="shared" si="1"/>
        <v>6</v>
      </c>
      <c r="J6" s="64">
        <f t="shared" si="1"/>
        <v>7</v>
      </c>
      <c r="K6" s="64">
        <f t="shared" si="1"/>
        <v>8</v>
      </c>
      <c r="L6" s="64">
        <f t="shared" si="1"/>
        <v>9</v>
      </c>
      <c r="M6" s="64">
        <f t="shared" si="1"/>
        <v>10</v>
      </c>
      <c r="N6" s="64">
        <f t="shared" si="1"/>
        <v>11</v>
      </c>
      <c r="O6" s="64">
        <f t="shared" si="1"/>
        <v>12</v>
      </c>
      <c r="P6" s="64">
        <f t="shared" si="1"/>
        <v>13</v>
      </c>
      <c r="Q6" s="64">
        <f t="shared" si="1"/>
        <v>14</v>
      </c>
      <c r="R6" s="64">
        <f t="shared" si="1"/>
        <v>15</v>
      </c>
      <c r="S6" s="64">
        <f t="shared" si="1"/>
        <v>16</v>
      </c>
      <c r="T6" s="64">
        <f t="shared" si="1"/>
        <v>17</v>
      </c>
      <c r="U6" s="64">
        <f t="shared" si="1"/>
        <v>18</v>
      </c>
      <c r="V6" s="64">
        <f t="shared" si="1"/>
        <v>19</v>
      </c>
      <c r="W6" s="64">
        <f t="shared" si="1"/>
        <v>20</v>
      </c>
      <c r="X6" s="64">
        <f t="shared" ref="X6" si="2">W6+1</f>
        <v>21</v>
      </c>
      <c r="Y6" s="64">
        <f t="shared" ref="Y6" si="3">X6+1</f>
        <v>22</v>
      </c>
      <c r="Z6" s="64">
        <f t="shared" ref="Z6" si="4">Y6+1</f>
        <v>23</v>
      </c>
      <c r="AA6" s="64">
        <f t="shared" ref="AA6" si="5">Z6+1</f>
        <v>24</v>
      </c>
      <c r="AB6" s="64">
        <f t="shared" ref="AB6" si="6">AA6+1</f>
        <v>25</v>
      </c>
      <c r="AC6" s="64">
        <f t="shared" ref="AC6" si="7">AB6+1</f>
        <v>26</v>
      </c>
      <c r="AD6" s="64">
        <f t="shared" ref="AD6" si="8">AC6+1</f>
        <v>27</v>
      </c>
      <c r="AE6" s="64">
        <f t="shared" ref="AE6" si="9">AD6+1</f>
        <v>28</v>
      </c>
      <c r="AF6" s="64">
        <f t="shared" ref="AF6" si="10">AE6+1</f>
        <v>29</v>
      </c>
      <c r="AG6" s="64">
        <f t="shared" ref="AG6" si="11">AF6+1</f>
        <v>30</v>
      </c>
      <c r="AH6" s="64">
        <f t="shared" ref="AH6" si="12">AG6+1</f>
        <v>31</v>
      </c>
      <c r="AI6" s="64">
        <f t="shared" ref="AI6" si="13">AH6+1</f>
        <v>32</v>
      </c>
      <c r="AJ6" s="64">
        <f t="shared" ref="AJ6" si="14">AI6+1</f>
        <v>33</v>
      </c>
      <c r="AK6" s="64">
        <f t="shared" ref="AK6" si="15">AJ6+1</f>
        <v>34</v>
      </c>
      <c r="AL6" s="64">
        <f t="shared" ref="AL6" si="16">AK6+1</f>
        <v>35</v>
      </c>
      <c r="AM6" s="57"/>
    </row>
    <row r="7" spans="1:39" ht="16.149999999999999" customHeight="1" x14ac:dyDescent="0.2">
      <c r="A7" s="57"/>
      <c r="B7" s="79" t="s">
        <v>171</v>
      </c>
      <c r="C7" s="109">
        <f>LOOKUP(Section1!C24,DepreciationITCLookUp!C3:Q3,DepreciationITCLookUp!C4:Q4)</f>
        <v>0.2</v>
      </c>
      <c r="D7" s="110">
        <v>1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0">
        <v>0</v>
      </c>
      <c r="R7" s="110">
        <v>0</v>
      </c>
      <c r="S7" s="110">
        <v>0</v>
      </c>
      <c r="T7" s="110">
        <v>0</v>
      </c>
      <c r="U7" s="110">
        <v>0</v>
      </c>
      <c r="V7" s="110">
        <v>0</v>
      </c>
      <c r="W7" s="110">
        <v>0</v>
      </c>
      <c r="X7" s="110">
        <v>0</v>
      </c>
      <c r="Y7" s="110">
        <v>0</v>
      </c>
      <c r="Z7" s="110">
        <v>0</v>
      </c>
      <c r="AA7" s="110">
        <v>0</v>
      </c>
      <c r="AB7" s="110">
        <v>0</v>
      </c>
      <c r="AC7" s="110">
        <v>0</v>
      </c>
      <c r="AD7" s="110">
        <v>0</v>
      </c>
      <c r="AE7" s="110">
        <v>0</v>
      </c>
      <c r="AF7" s="110">
        <v>0</v>
      </c>
      <c r="AG7" s="110">
        <v>0</v>
      </c>
      <c r="AH7" s="110">
        <v>0</v>
      </c>
      <c r="AI7" s="110">
        <v>0</v>
      </c>
      <c r="AJ7" s="110">
        <v>0</v>
      </c>
      <c r="AK7" s="110">
        <v>0</v>
      </c>
      <c r="AL7" s="110">
        <v>0</v>
      </c>
      <c r="AM7" s="57"/>
    </row>
    <row r="8" spans="1:39" ht="16.149999999999999" customHeight="1" thickBot="1" x14ac:dyDescent="0.25">
      <c r="A8" s="57"/>
      <c r="B8" s="80" t="s">
        <v>136</v>
      </c>
      <c r="C8" s="111">
        <f>LOOKUP(Section1!C24,DepreciationITCLookUp!C3:Q3,DepreciationITCLookUp!C5:Q5)</f>
        <v>0.8</v>
      </c>
      <c r="D8" s="112">
        <f>IF($C$8=0,0,D12/$C$13/$C$8)</f>
        <v>5.000000000000001E-2</v>
      </c>
      <c r="E8" s="112">
        <f>IF($C$8=0,0,E12/$C$13/$C$8)</f>
        <v>9.4999999999999987E-2</v>
      </c>
      <c r="F8" s="112">
        <f t="shared" ref="F8:AL8" si="17">IF($C$8=0,0,F12/$C$13/$C$8)</f>
        <v>8.5499999999999993E-2</v>
      </c>
      <c r="G8" s="112">
        <f t="shared" si="17"/>
        <v>7.6949999999999991E-2</v>
      </c>
      <c r="H8" s="112">
        <f t="shared" si="17"/>
        <v>6.9255000000000011E-2</v>
      </c>
      <c r="I8" s="112">
        <f t="shared" si="17"/>
        <v>6.2329499999999996E-2</v>
      </c>
      <c r="J8" s="112">
        <f t="shared" si="17"/>
        <v>5.9048999999999997E-2</v>
      </c>
      <c r="K8" s="112">
        <f t="shared" si="17"/>
        <v>5.9048999999999997E-2</v>
      </c>
      <c r="L8" s="112">
        <f t="shared" si="17"/>
        <v>5.9048999999999997E-2</v>
      </c>
      <c r="M8" s="112">
        <f t="shared" si="17"/>
        <v>5.9048999999999997E-2</v>
      </c>
      <c r="N8" s="112">
        <f t="shared" si="17"/>
        <v>5.9048999999999997E-2</v>
      </c>
      <c r="O8" s="112">
        <f t="shared" si="17"/>
        <v>5.9048999999999997E-2</v>
      </c>
      <c r="P8" s="112">
        <f t="shared" si="17"/>
        <v>5.9048999999999997E-2</v>
      </c>
      <c r="Q8" s="112">
        <f t="shared" si="17"/>
        <v>5.9048999999999997E-2</v>
      </c>
      <c r="R8" s="112">
        <f t="shared" si="17"/>
        <v>5.9048999999999997E-2</v>
      </c>
      <c r="S8" s="112">
        <f t="shared" si="17"/>
        <v>2.9524499999999999E-2</v>
      </c>
      <c r="T8" s="112">
        <f t="shared" si="17"/>
        <v>0</v>
      </c>
      <c r="U8" s="112">
        <f t="shared" si="17"/>
        <v>0</v>
      </c>
      <c r="V8" s="112">
        <f t="shared" si="17"/>
        <v>0</v>
      </c>
      <c r="W8" s="112">
        <f t="shared" si="17"/>
        <v>0</v>
      </c>
      <c r="X8" s="112">
        <f t="shared" si="17"/>
        <v>0</v>
      </c>
      <c r="Y8" s="112">
        <f t="shared" si="17"/>
        <v>0</v>
      </c>
      <c r="Z8" s="112">
        <f t="shared" si="17"/>
        <v>0</v>
      </c>
      <c r="AA8" s="112">
        <f t="shared" si="17"/>
        <v>0</v>
      </c>
      <c r="AB8" s="112">
        <f t="shared" si="17"/>
        <v>0</v>
      </c>
      <c r="AC8" s="112">
        <f t="shared" si="17"/>
        <v>0</v>
      </c>
      <c r="AD8" s="112">
        <f t="shared" si="17"/>
        <v>0</v>
      </c>
      <c r="AE8" s="112">
        <f t="shared" si="17"/>
        <v>0</v>
      </c>
      <c r="AF8" s="112">
        <f t="shared" si="17"/>
        <v>0</v>
      </c>
      <c r="AG8" s="112">
        <f t="shared" si="17"/>
        <v>0</v>
      </c>
      <c r="AH8" s="112">
        <f t="shared" si="17"/>
        <v>0</v>
      </c>
      <c r="AI8" s="112">
        <f t="shared" si="17"/>
        <v>0</v>
      </c>
      <c r="AJ8" s="112">
        <f t="shared" si="17"/>
        <v>0</v>
      </c>
      <c r="AK8" s="112">
        <f t="shared" si="17"/>
        <v>0</v>
      </c>
      <c r="AL8" s="112">
        <f t="shared" si="17"/>
        <v>0</v>
      </c>
      <c r="AM8" s="57"/>
    </row>
    <row r="9" spans="1:39" ht="16.149999999999999" customHeight="1" thickBot="1" x14ac:dyDescent="0.25">
      <c r="A9" s="57"/>
      <c r="B9" s="77"/>
      <c r="C9" s="81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</row>
    <row r="10" spans="1:39" ht="16.149999999999999" customHeight="1" thickBot="1" x14ac:dyDescent="0.3">
      <c r="A10" s="57"/>
      <c r="B10" s="63" t="s">
        <v>98</v>
      </c>
      <c r="C10" s="64" t="s">
        <v>86</v>
      </c>
      <c r="D10" s="64">
        <v>1</v>
      </c>
      <c r="E10" s="64">
        <f>D10+1</f>
        <v>2</v>
      </c>
      <c r="F10" s="64">
        <f t="shared" ref="F10:X10" si="18">E10+1</f>
        <v>3</v>
      </c>
      <c r="G10" s="64">
        <f t="shared" si="18"/>
        <v>4</v>
      </c>
      <c r="H10" s="64">
        <f t="shared" si="18"/>
        <v>5</v>
      </c>
      <c r="I10" s="64">
        <f t="shared" si="18"/>
        <v>6</v>
      </c>
      <c r="J10" s="64">
        <f t="shared" si="18"/>
        <v>7</v>
      </c>
      <c r="K10" s="64">
        <f t="shared" si="18"/>
        <v>8</v>
      </c>
      <c r="L10" s="64">
        <f t="shared" si="18"/>
        <v>9</v>
      </c>
      <c r="M10" s="64">
        <f t="shared" si="18"/>
        <v>10</v>
      </c>
      <c r="N10" s="64">
        <f t="shared" si="18"/>
        <v>11</v>
      </c>
      <c r="O10" s="64">
        <f t="shared" si="18"/>
        <v>12</v>
      </c>
      <c r="P10" s="64">
        <f t="shared" si="18"/>
        <v>13</v>
      </c>
      <c r="Q10" s="64">
        <f t="shared" si="18"/>
        <v>14</v>
      </c>
      <c r="R10" s="64">
        <f t="shared" si="18"/>
        <v>15</v>
      </c>
      <c r="S10" s="64">
        <f t="shared" si="18"/>
        <v>16</v>
      </c>
      <c r="T10" s="64">
        <f t="shared" si="18"/>
        <v>17</v>
      </c>
      <c r="U10" s="64">
        <f t="shared" si="18"/>
        <v>18</v>
      </c>
      <c r="V10" s="64">
        <f t="shared" si="18"/>
        <v>19</v>
      </c>
      <c r="W10" s="64">
        <f t="shared" si="18"/>
        <v>20</v>
      </c>
      <c r="X10" s="64">
        <f t="shared" si="18"/>
        <v>21</v>
      </c>
      <c r="Y10" s="64">
        <f t="shared" ref="Y10" si="19">X10+1</f>
        <v>22</v>
      </c>
      <c r="Z10" s="64">
        <f t="shared" ref="Z10" si="20">Y10+1</f>
        <v>23</v>
      </c>
      <c r="AA10" s="64">
        <f t="shared" ref="AA10" si="21">Z10+1</f>
        <v>24</v>
      </c>
      <c r="AB10" s="64">
        <f t="shared" ref="AB10" si="22">AA10+1</f>
        <v>25</v>
      </c>
      <c r="AC10" s="64">
        <f t="shared" ref="AC10" si="23">AB10+1</f>
        <v>26</v>
      </c>
      <c r="AD10" s="64">
        <f t="shared" ref="AD10" si="24">AC10+1</f>
        <v>27</v>
      </c>
      <c r="AE10" s="64">
        <f t="shared" ref="AE10" si="25">AD10+1</f>
        <v>28</v>
      </c>
      <c r="AF10" s="64">
        <f t="shared" ref="AF10" si="26">AE10+1</f>
        <v>29</v>
      </c>
      <c r="AG10" s="64">
        <f t="shared" ref="AG10" si="27">AF10+1</f>
        <v>30</v>
      </c>
      <c r="AH10" s="64">
        <f t="shared" ref="AH10" si="28">AG10+1</f>
        <v>31</v>
      </c>
      <c r="AI10" s="64">
        <f t="shared" ref="AI10" si="29">AH10+1</f>
        <v>32</v>
      </c>
      <c r="AJ10" s="64">
        <f t="shared" ref="AJ10" si="30">AI10+1</f>
        <v>33</v>
      </c>
      <c r="AK10" s="64">
        <f t="shared" ref="AK10" si="31">AJ10+1</f>
        <v>34</v>
      </c>
      <c r="AL10" s="64">
        <f t="shared" ref="AL10" si="32">AK10+1</f>
        <v>35</v>
      </c>
      <c r="AM10" s="57"/>
    </row>
    <row r="11" spans="1:39" ht="16.149999999999999" customHeight="1" x14ac:dyDescent="0.2">
      <c r="A11" s="57"/>
      <c r="B11" s="79" t="s">
        <v>171</v>
      </c>
      <c r="C11" s="113">
        <f>C7*$C$13</f>
        <v>66187.800000000017</v>
      </c>
      <c r="D11" s="113">
        <f>$C$13*$C7*D7</f>
        <v>66187.800000000017</v>
      </c>
      <c r="E11" s="113">
        <f t="shared" ref="E11:AL11" si="33">$C$13*$C7*E7</f>
        <v>0</v>
      </c>
      <c r="F11" s="113">
        <f t="shared" si="33"/>
        <v>0</v>
      </c>
      <c r="G11" s="113">
        <f t="shared" si="33"/>
        <v>0</v>
      </c>
      <c r="H11" s="113">
        <f t="shared" si="33"/>
        <v>0</v>
      </c>
      <c r="I11" s="113">
        <f t="shared" si="33"/>
        <v>0</v>
      </c>
      <c r="J11" s="113">
        <f t="shared" si="33"/>
        <v>0</v>
      </c>
      <c r="K11" s="113">
        <f t="shared" si="33"/>
        <v>0</v>
      </c>
      <c r="L11" s="113">
        <f t="shared" si="33"/>
        <v>0</v>
      </c>
      <c r="M11" s="113">
        <f t="shared" si="33"/>
        <v>0</v>
      </c>
      <c r="N11" s="113">
        <f t="shared" si="33"/>
        <v>0</v>
      </c>
      <c r="O11" s="113">
        <f t="shared" si="33"/>
        <v>0</v>
      </c>
      <c r="P11" s="113">
        <f t="shared" si="33"/>
        <v>0</v>
      </c>
      <c r="Q11" s="113">
        <f t="shared" si="33"/>
        <v>0</v>
      </c>
      <c r="R11" s="113">
        <f t="shared" si="33"/>
        <v>0</v>
      </c>
      <c r="S11" s="113">
        <f t="shared" si="33"/>
        <v>0</v>
      </c>
      <c r="T11" s="113">
        <f t="shared" si="33"/>
        <v>0</v>
      </c>
      <c r="U11" s="113">
        <f t="shared" si="33"/>
        <v>0</v>
      </c>
      <c r="V11" s="113">
        <f t="shared" si="33"/>
        <v>0</v>
      </c>
      <c r="W11" s="113">
        <f t="shared" si="33"/>
        <v>0</v>
      </c>
      <c r="X11" s="113">
        <f t="shared" si="33"/>
        <v>0</v>
      </c>
      <c r="Y11" s="113">
        <f t="shared" si="33"/>
        <v>0</v>
      </c>
      <c r="Z11" s="113">
        <f t="shared" si="33"/>
        <v>0</v>
      </c>
      <c r="AA11" s="113">
        <f t="shared" si="33"/>
        <v>0</v>
      </c>
      <c r="AB11" s="113">
        <f t="shared" si="33"/>
        <v>0</v>
      </c>
      <c r="AC11" s="113">
        <f t="shared" si="33"/>
        <v>0</v>
      </c>
      <c r="AD11" s="113">
        <f t="shared" si="33"/>
        <v>0</v>
      </c>
      <c r="AE11" s="113">
        <f t="shared" si="33"/>
        <v>0</v>
      </c>
      <c r="AF11" s="113">
        <f t="shared" si="33"/>
        <v>0</v>
      </c>
      <c r="AG11" s="113">
        <f t="shared" si="33"/>
        <v>0</v>
      </c>
      <c r="AH11" s="113">
        <f t="shared" si="33"/>
        <v>0</v>
      </c>
      <c r="AI11" s="113">
        <f t="shared" si="33"/>
        <v>0</v>
      </c>
      <c r="AJ11" s="113">
        <f t="shared" si="33"/>
        <v>0</v>
      </c>
      <c r="AK11" s="113">
        <f t="shared" si="33"/>
        <v>0</v>
      </c>
      <c r="AL11" s="113">
        <f t="shared" si="33"/>
        <v>0</v>
      </c>
      <c r="AM11" s="57"/>
    </row>
    <row r="12" spans="1:39" ht="16.149999999999999" customHeight="1" thickBot="1" x14ac:dyDescent="0.25">
      <c r="A12" s="57"/>
      <c r="B12" s="79" t="s">
        <v>136</v>
      </c>
      <c r="C12" s="113">
        <f>C8*C13</f>
        <v>264751.20000000007</v>
      </c>
      <c r="D12" s="113">
        <f>IF(D10&gt;VLOOKUP(Section1!$C$12,DropDown!$B$9:$F$29,4,FALSE)+1,0,$C$8*VDB($C$13,0,VLOOKUP(Section1!$C$12,DropDown!$B$9:$F$29,4,FALSE),MAX(0,D10-1.5),MIN(VLOOKUP(Section1!$C$12,DropDown!$B$9:$F$29,4,FALSE),D10-0.5),1.5))</f>
        <v>13237.560000000005</v>
      </c>
      <c r="E12" s="113">
        <f>IF(E10&gt;VLOOKUP(Section1!$C$12,DropDown!$B$9:$F$29,4,FALSE)+1,0,$C$8*VDB($C$13,0,VLOOKUP(Section1!$C$12,DropDown!$B$9:$F$29,4,FALSE),MAX(0,E10-1.5),MIN(VLOOKUP(Section1!$C$12,DropDown!$B$9:$F$29,4,FALSE),E10-0.5),1.5))</f>
        <v>25151.364000000005</v>
      </c>
      <c r="F12" s="113">
        <f>IF(F10&gt;VLOOKUP(Section1!$C$12,DropDown!$B$9:$F$29,4,FALSE)+1,0,$C$8*VDB($C$13,0,VLOOKUP(Section1!$C$12,DropDown!$B$9:$F$29,4,FALSE),MAX(0,F10-1.5),MIN(VLOOKUP(Section1!$C$12,DropDown!$B$9:$F$29,4,FALSE),F10-0.5),1.5))</f>
        <v>22636.227600000006</v>
      </c>
      <c r="G12" s="113">
        <f>IF(G10&gt;VLOOKUP(Section1!$C$12,DropDown!$B$9:$F$29,4,FALSE)+1,0,$C$8*VDB($C$13,0,VLOOKUP(Section1!$C$12,DropDown!$B$9:$F$29,4,FALSE),MAX(0,G10-1.5),MIN(VLOOKUP(Section1!$C$12,DropDown!$B$9:$F$29,4,FALSE),G10-0.5),1.5))</f>
        <v>20372.604840000004</v>
      </c>
      <c r="H12" s="113">
        <f>IF(H10&gt;VLOOKUP(Section1!$C$12,DropDown!$B$9:$F$29,4,FALSE)+1,0,$C$8*VDB($C$13,0,VLOOKUP(Section1!$C$12,DropDown!$B$9:$F$29,4,FALSE),MAX(0,H10-1.5),MIN(VLOOKUP(Section1!$C$12,DropDown!$B$9:$F$29,4,FALSE),H10-0.5),1.5))</f>
        <v>18335.344356000005</v>
      </c>
      <c r="I12" s="113">
        <f>IF(I10&gt;VLOOKUP(Section1!$C$12,DropDown!$B$9:$F$29,4,FALSE)+1,0,$C$8*VDB($C$13,0,VLOOKUP(Section1!$C$12,DropDown!$B$9:$F$29,4,FALSE),MAX(0,I10-1.5),MIN(VLOOKUP(Section1!$C$12,DropDown!$B$9:$F$29,4,FALSE),I10-0.5),1.5))</f>
        <v>16501.809920400003</v>
      </c>
      <c r="J12" s="113">
        <f>IF(J10&gt;VLOOKUP(Section1!$C$12,DropDown!$B$9:$F$29,4,FALSE)+1,0,$C$8*VDB($C$13,0,VLOOKUP(Section1!$C$12,DropDown!$B$9:$F$29,4,FALSE),MAX(0,J10-1.5),MIN(VLOOKUP(Section1!$C$12,DropDown!$B$9:$F$29,4,FALSE),J10-0.5),1.5))</f>
        <v>15633.293608800002</v>
      </c>
      <c r="K12" s="113">
        <f>IF(K10&gt;VLOOKUP(Section1!$C$12,DropDown!$B$9:$F$29,4,FALSE)+1,0,$C$8*VDB($C$13,0,VLOOKUP(Section1!$C$12,DropDown!$B$9:$F$29,4,FALSE),MAX(0,K10-1.5),MIN(VLOOKUP(Section1!$C$12,DropDown!$B$9:$F$29,4,FALSE),K10-0.5),1.5))</f>
        <v>15633.293608800002</v>
      </c>
      <c r="L12" s="113">
        <f>IF(L10&gt;VLOOKUP(Section1!$C$12,DropDown!$B$9:$F$29,4,FALSE)+1,0,$C$8*VDB($C$13,0,VLOOKUP(Section1!$C$12,DropDown!$B$9:$F$29,4,FALSE),MAX(0,L10-1.5),MIN(VLOOKUP(Section1!$C$12,DropDown!$B$9:$F$29,4,FALSE),L10-0.5),1.5))</f>
        <v>15633.293608800002</v>
      </c>
      <c r="M12" s="113">
        <f>IF(M10&gt;VLOOKUP(Section1!$C$12,DropDown!$B$9:$F$29,4,FALSE)+1,0,$C$8*VDB($C$13,0,VLOOKUP(Section1!$C$12,DropDown!$B$9:$F$29,4,FALSE),MAX(0,M10-1.5),MIN(VLOOKUP(Section1!$C$12,DropDown!$B$9:$F$29,4,FALSE),M10-0.5),1.5))</f>
        <v>15633.293608800002</v>
      </c>
      <c r="N12" s="113">
        <f>IF(N10&gt;VLOOKUP(Section1!$C$12,DropDown!$B$9:$F$29,4,FALSE)+1,0,$C$8*VDB($C$13,0,VLOOKUP(Section1!$C$12,DropDown!$B$9:$F$29,4,FALSE),MAX(0,N10-1.5),MIN(VLOOKUP(Section1!$C$12,DropDown!$B$9:$F$29,4,FALSE),N10-0.5),1.5))</f>
        <v>15633.293608800002</v>
      </c>
      <c r="O12" s="113">
        <f>IF(O10&gt;VLOOKUP(Section1!$C$12,DropDown!$B$9:$F$29,4,FALSE)+1,0,$C$8*VDB($C$13,0,VLOOKUP(Section1!$C$12,DropDown!$B$9:$F$29,4,FALSE),MAX(0,O10-1.5),MIN(VLOOKUP(Section1!$C$12,DropDown!$B$9:$F$29,4,FALSE),O10-0.5),1.5))</f>
        <v>15633.293608800002</v>
      </c>
      <c r="P12" s="113">
        <f>IF(P10&gt;VLOOKUP(Section1!$C$12,DropDown!$B$9:$F$29,4,FALSE)+1,0,$C$8*VDB($C$13,0,VLOOKUP(Section1!$C$12,DropDown!$B$9:$F$29,4,FALSE),MAX(0,P10-1.5),MIN(VLOOKUP(Section1!$C$12,DropDown!$B$9:$F$29,4,FALSE),P10-0.5),1.5))</f>
        <v>15633.293608800002</v>
      </c>
      <c r="Q12" s="113">
        <f>IF(Q10&gt;VLOOKUP(Section1!$C$12,DropDown!$B$9:$F$29,4,FALSE)+1,0,$C$8*VDB($C$13,0,VLOOKUP(Section1!$C$12,DropDown!$B$9:$F$29,4,FALSE),MAX(0,Q10-1.5),MIN(VLOOKUP(Section1!$C$12,DropDown!$B$9:$F$29,4,FALSE),Q10-0.5),1.5))</f>
        <v>15633.293608800002</v>
      </c>
      <c r="R12" s="113">
        <f>IF(R10&gt;VLOOKUP(Section1!$C$12,DropDown!$B$9:$F$29,4,FALSE)+1,0,$C$8*VDB($C$13,0,VLOOKUP(Section1!$C$12,DropDown!$B$9:$F$29,4,FALSE),MAX(0,R10-1.5),MIN(VLOOKUP(Section1!$C$12,DropDown!$B$9:$F$29,4,FALSE),R10-0.5),1.5))</f>
        <v>15633.293608800002</v>
      </c>
      <c r="S12" s="113">
        <f>IF(S10&gt;VLOOKUP(Section1!$C$12,DropDown!$B$9:$F$29,4,FALSE)+1,0,$C$8*VDB($C$13,0,VLOOKUP(Section1!$C$12,DropDown!$B$9:$F$29,4,FALSE),MAX(0,S10-1.5),MIN(VLOOKUP(Section1!$C$12,DropDown!$B$9:$F$29,4,FALSE),S10-0.5),1.5))</f>
        <v>7816.6468044000012</v>
      </c>
      <c r="T12" s="113">
        <f>IF(T10&gt;VLOOKUP(Section1!$C$12,DropDown!$B$9:$F$29,4,FALSE)+1,0,$C$8*VDB($C$13,0,VLOOKUP(Section1!$C$12,DropDown!$B$9:$F$29,4,FALSE),MAX(0,T10-1.5),MIN(VLOOKUP(Section1!$C$12,DropDown!$B$9:$F$29,4,FALSE),T10-0.5),1.5))</f>
        <v>0</v>
      </c>
      <c r="U12" s="113">
        <f>IF(U10&gt;VLOOKUP(Section1!$C$12,DropDown!$B$9:$F$29,4,FALSE)+1,0,$C$8*VDB($C$13,0,VLOOKUP(Section1!$C$12,DropDown!$B$9:$F$29,4,FALSE),MAX(0,U10-1.5),MIN(VLOOKUP(Section1!$C$12,DropDown!$B$9:$F$29,4,FALSE),U10-0.5),1.5))</f>
        <v>0</v>
      </c>
      <c r="V12" s="113">
        <f>IF(V10&gt;VLOOKUP(Section1!$C$12,DropDown!$B$9:$F$29,4,FALSE)+1,0,$C$8*VDB($C$13,0,VLOOKUP(Section1!$C$12,DropDown!$B$9:$F$29,4,FALSE),MAX(0,V10-1.5),MIN(VLOOKUP(Section1!$C$12,DropDown!$B$9:$F$29,4,FALSE),V10-0.5),1.5))</f>
        <v>0</v>
      </c>
      <c r="W12" s="113">
        <f>IF(W10&gt;VLOOKUP(Section1!$C$12,DropDown!$B$9:$F$29,4,FALSE)+1,0,$C$8*VDB($C$13,0,VLOOKUP(Section1!$C$12,DropDown!$B$9:$F$29,4,FALSE),MAX(0,W10-1.5),MIN(VLOOKUP(Section1!$C$12,DropDown!$B$9:$F$29,4,FALSE),W10-0.5),1.5))</f>
        <v>0</v>
      </c>
      <c r="X12" s="113">
        <f>IF(X10&gt;VLOOKUP(Section1!$C$12,DropDown!$B$9:$F$29,4,FALSE)+1,0,$C$8*VDB($C$13,0,VLOOKUP(Section1!$C$12,DropDown!$B$9:$F$29,4,FALSE),MAX(0,X10-1.5),MIN(VLOOKUP(Section1!$C$12,DropDown!$B$9:$F$29,4,FALSE),X10-0.5),1.5))</f>
        <v>0</v>
      </c>
      <c r="Y12" s="113">
        <f>IF(Y10&gt;VLOOKUP(Section1!$C$12,DropDown!$B$9:$F$29,4,FALSE)+1,0,$C$8*VDB($C$13,0,VLOOKUP(Section1!$C$12,DropDown!$B$9:$F$29,4,FALSE),MAX(0,Y10-1.5),MIN(VLOOKUP(Section1!$C$12,DropDown!$B$9:$F$29,4,FALSE),Y10-0.5),1.5))</f>
        <v>0</v>
      </c>
      <c r="Z12" s="113">
        <f>IF(Z10&gt;VLOOKUP(Section1!$C$12,DropDown!$B$9:$F$29,4,FALSE)+1,0,$C$8*VDB($C$13,0,VLOOKUP(Section1!$C$12,DropDown!$B$9:$F$29,4,FALSE),MAX(0,Z10-1.5),MIN(VLOOKUP(Section1!$C$12,DropDown!$B$9:$F$29,4,FALSE),Z10-0.5),1.5))</f>
        <v>0</v>
      </c>
      <c r="AA12" s="113">
        <f>IF(AA10&gt;VLOOKUP(Section1!$C$12,DropDown!$B$9:$F$29,4,FALSE)+1,0,$C$8*VDB($C$13,0,VLOOKUP(Section1!$C$12,DropDown!$B$9:$F$29,4,FALSE),MAX(0,AA10-1.5),MIN(VLOOKUP(Section1!$C$12,DropDown!$B$9:$F$29,4,FALSE),AA10-0.5),1.5))</f>
        <v>0</v>
      </c>
      <c r="AB12" s="113">
        <f>IF(AB10&gt;VLOOKUP(Section1!$C$12,DropDown!$B$9:$F$29,4,FALSE)+1,0,$C$8*VDB($C$13,0,VLOOKUP(Section1!$C$12,DropDown!$B$9:$F$29,4,FALSE),MAX(0,AB10-1.5),MIN(VLOOKUP(Section1!$C$12,DropDown!$B$9:$F$29,4,FALSE),AB10-0.5),1.5))</f>
        <v>0</v>
      </c>
      <c r="AC12" s="113">
        <f>IF(AC10&gt;VLOOKUP(Section1!$C$12,DropDown!$B$9:$F$29,4,FALSE)+1,0,$C$8*VDB($C$13,0,VLOOKUP(Section1!$C$12,DropDown!$B$9:$F$29,4,FALSE),MAX(0,AC10-1.5),MIN(VLOOKUP(Section1!$C$12,DropDown!$B$9:$F$29,4,FALSE),AC10-0.5),1.5))</f>
        <v>0</v>
      </c>
      <c r="AD12" s="113">
        <f>IF(AD10&gt;VLOOKUP(Section1!$C$12,DropDown!$B$9:$F$29,4,FALSE)+1,0,$C$8*VDB($C$13,0,VLOOKUP(Section1!$C$12,DropDown!$B$9:$F$29,4,FALSE),MAX(0,AD10-1.5),MIN(VLOOKUP(Section1!$C$12,DropDown!$B$9:$F$29,4,FALSE),AD10-0.5),1.5))</f>
        <v>0</v>
      </c>
      <c r="AE12" s="113">
        <f>IF(AE10&gt;VLOOKUP(Section1!$C$12,DropDown!$B$9:$F$29,4,FALSE)+1,0,$C$8*VDB($C$13,0,VLOOKUP(Section1!$C$12,DropDown!$B$9:$F$29,4,FALSE),MAX(0,AE10-1.5),MIN(VLOOKUP(Section1!$C$12,DropDown!$B$9:$F$29,4,FALSE),AE10-0.5),1.5))</f>
        <v>0</v>
      </c>
      <c r="AF12" s="113">
        <f>IF(AF10&gt;VLOOKUP(Section1!$C$12,DropDown!$B$9:$F$29,4,FALSE)+1,0,$C$8*VDB($C$13,0,VLOOKUP(Section1!$C$12,DropDown!$B$9:$F$29,4,FALSE),MAX(0,AF10-1.5),MIN(VLOOKUP(Section1!$C$12,DropDown!$B$9:$F$29,4,FALSE),AF10-0.5),1.5))</f>
        <v>0</v>
      </c>
      <c r="AG12" s="113">
        <f>IF(AG10&gt;VLOOKUP(Section1!$C$12,DropDown!$B$9:$F$29,4,FALSE)+1,0,$C$8*VDB($C$13,0,VLOOKUP(Section1!$C$12,DropDown!$B$9:$F$29,4,FALSE),MAX(0,AG10-1.5),MIN(VLOOKUP(Section1!$C$12,DropDown!$B$9:$F$29,4,FALSE),AG10-0.5),1.5))</f>
        <v>0</v>
      </c>
      <c r="AH12" s="113">
        <f>IF(AH10&gt;VLOOKUP(Section1!$C$12,DropDown!$B$9:$F$29,4,FALSE)+1,0,$C$8*VDB($C$13,0,VLOOKUP(Section1!$C$12,DropDown!$B$9:$F$29,4,FALSE),MAX(0,AH10-1.5),MIN(VLOOKUP(Section1!$C$12,DropDown!$B$9:$F$29,4,FALSE),AH10-0.5),1.5))</f>
        <v>0</v>
      </c>
      <c r="AI12" s="113">
        <f>IF(AI10&gt;VLOOKUP(Section1!$C$12,DropDown!$B$9:$F$29,4,FALSE)+1,0,$C$8*VDB($C$13,0,VLOOKUP(Section1!$C$12,DropDown!$B$9:$F$29,4,FALSE),MAX(0,AI10-1.5),MIN(VLOOKUP(Section1!$C$12,DropDown!$B$9:$F$29,4,FALSE),AI10-0.5),1.5))</f>
        <v>0</v>
      </c>
      <c r="AJ12" s="113">
        <f>IF(AJ10&gt;VLOOKUP(Section1!$C$12,DropDown!$B$9:$F$29,4,FALSE)+1,0,$C$8*VDB($C$13,0,VLOOKUP(Section1!$C$12,DropDown!$B$9:$F$29,4,FALSE),MAX(0,AJ10-1.5),MIN(VLOOKUP(Section1!$C$12,DropDown!$B$9:$F$29,4,FALSE),AJ10-0.5),1.5))</f>
        <v>0</v>
      </c>
      <c r="AK12" s="113">
        <f>IF(AK10&gt;VLOOKUP(Section1!$C$12,DropDown!$B$9:$F$29,4,FALSE)+1,0,$C$8*VDB($C$13,0,VLOOKUP(Section1!$C$12,DropDown!$B$9:$F$29,4,FALSE),MAX(0,AK10-1.5),MIN(VLOOKUP(Section1!$C$12,DropDown!$B$9:$F$29,4,FALSE),AK10-0.5),1.5))</f>
        <v>0</v>
      </c>
      <c r="AL12" s="113">
        <f>IF(AL10&gt;VLOOKUP(Section1!$C$12,DropDown!$B$9:$F$29,4,FALSE)+1,0,$C$8*VDB($C$13,0,VLOOKUP(Section1!$C$12,DropDown!$B$9:$F$29,4,FALSE),MAX(0,AL10-1.5),MIN(VLOOKUP(Section1!$C$12,DropDown!$B$9:$F$29,4,FALSE),AL10-0.5),1.5))</f>
        <v>0</v>
      </c>
      <c r="AM12" s="57"/>
    </row>
    <row r="13" spans="1:39" ht="16.149999999999999" customHeight="1" thickBot="1" x14ac:dyDescent="0.25">
      <c r="A13" s="57"/>
      <c r="B13" s="76" t="s">
        <v>99</v>
      </c>
      <c r="C13" s="108">
        <f>Section7!C5</f>
        <v>330939.00000000006</v>
      </c>
      <c r="D13" s="54">
        <f>SUM(D11:D12)</f>
        <v>79425.360000000015</v>
      </c>
      <c r="E13" s="54">
        <f t="shared" ref="E13:AL13" si="34">SUM(E11:E12)</f>
        <v>25151.364000000005</v>
      </c>
      <c r="F13" s="54">
        <f t="shared" si="34"/>
        <v>22636.227600000006</v>
      </c>
      <c r="G13" s="54">
        <f t="shared" si="34"/>
        <v>20372.604840000004</v>
      </c>
      <c r="H13" s="54">
        <f t="shared" si="34"/>
        <v>18335.344356000005</v>
      </c>
      <c r="I13" s="54">
        <f t="shared" si="34"/>
        <v>16501.809920400003</v>
      </c>
      <c r="J13" s="54">
        <f t="shared" si="34"/>
        <v>15633.293608800002</v>
      </c>
      <c r="K13" s="54">
        <f t="shared" si="34"/>
        <v>15633.293608800002</v>
      </c>
      <c r="L13" s="54">
        <f t="shared" si="34"/>
        <v>15633.293608800002</v>
      </c>
      <c r="M13" s="54">
        <f t="shared" si="34"/>
        <v>15633.293608800002</v>
      </c>
      <c r="N13" s="54">
        <f t="shared" si="34"/>
        <v>15633.293608800002</v>
      </c>
      <c r="O13" s="54">
        <f t="shared" si="34"/>
        <v>15633.293608800002</v>
      </c>
      <c r="P13" s="54">
        <f t="shared" si="34"/>
        <v>15633.293608800002</v>
      </c>
      <c r="Q13" s="54">
        <f t="shared" si="34"/>
        <v>15633.293608800002</v>
      </c>
      <c r="R13" s="54">
        <f t="shared" si="34"/>
        <v>15633.293608800002</v>
      </c>
      <c r="S13" s="54">
        <f t="shared" si="34"/>
        <v>7816.6468044000012</v>
      </c>
      <c r="T13" s="54">
        <f t="shared" si="34"/>
        <v>0</v>
      </c>
      <c r="U13" s="54">
        <f t="shared" si="34"/>
        <v>0</v>
      </c>
      <c r="V13" s="54">
        <f t="shared" si="34"/>
        <v>0</v>
      </c>
      <c r="W13" s="54">
        <f t="shared" si="34"/>
        <v>0</v>
      </c>
      <c r="X13" s="54">
        <f t="shared" si="34"/>
        <v>0</v>
      </c>
      <c r="Y13" s="54">
        <f t="shared" si="34"/>
        <v>0</v>
      </c>
      <c r="Z13" s="54">
        <f t="shared" si="34"/>
        <v>0</v>
      </c>
      <c r="AA13" s="54">
        <f t="shared" si="34"/>
        <v>0</v>
      </c>
      <c r="AB13" s="54">
        <f t="shared" si="34"/>
        <v>0</v>
      </c>
      <c r="AC13" s="54">
        <f t="shared" si="34"/>
        <v>0</v>
      </c>
      <c r="AD13" s="54">
        <f t="shared" si="34"/>
        <v>0</v>
      </c>
      <c r="AE13" s="54">
        <f t="shared" si="34"/>
        <v>0</v>
      </c>
      <c r="AF13" s="54">
        <f t="shared" si="34"/>
        <v>0</v>
      </c>
      <c r="AG13" s="54">
        <f t="shared" si="34"/>
        <v>0</v>
      </c>
      <c r="AH13" s="54">
        <f t="shared" si="34"/>
        <v>0</v>
      </c>
      <c r="AI13" s="54">
        <f t="shared" si="34"/>
        <v>0</v>
      </c>
      <c r="AJ13" s="54">
        <f t="shared" si="34"/>
        <v>0</v>
      </c>
      <c r="AK13" s="54">
        <f t="shared" si="34"/>
        <v>0</v>
      </c>
      <c r="AL13" s="54">
        <f t="shared" si="34"/>
        <v>0</v>
      </c>
      <c r="AM13" s="57"/>
    </row>
    <row r="14" spans="1:39" ht="16.149999999999999" customHeight="1" thickBot="1" x14ac:dyDescent="0.25">
      <c r="A14" s="57"/>
      <c r="B14" s="60"/>
      <c r="C14" s="82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7"/>
    </row>
    <row r="15" spans="1:39" ht="16.149999999999999" customHeight="1" thickBot="1" x14ac:dyDescent="0.3">
      <c r="A15" s="57"/>
      <c r="B15" s="63" t="s">
        <v>177</v>
      </c>
      <c r="C15" s="64" t="s">
        <v>86</v>
      </c>
      <c r="D15" s="64">
        <v>1</v>
      </c>
      <c r="E15" s="64">
        <f>D15+1</f>
        <v>2</v>
      </c>
      <c r="F15" s="64">
        <f t="shared" ref="F15" si="35">E15+1</f>
        <v>3</v>
      </c>
      <c r="G15" s="64">
        <f t="shared" ref="G15" si="36">F15+1</f>
        <v>4</v>
      </c>
      <c r="H15" s="64">
        <f t="shared" ref="H15" si="37">G15+1</f>
        <v>5</v>
      </c>
      <c r="I15" s="64">
        <f t="shared" ref="I15" si="38">H15+1</f>
        <v>6</v>
      </c>
      <c r="J15" s="64">
        <f t="shared" ref="J15" si="39">I15+1</f>
        <v>7</v>
      </c>
      <c r="K15" s="64">
        <f t="shared" ref="K15" si="40">J15+1</f>
        <v>8</v>
      </c>
      <c r="L15" s="64">
        <f t="shared" ref="L15" si="41">K15+1</f>
        <v>9</v>
      </c>
      <c r="M15" s="64">
        <f t="shared" ref="M15" si="42">L15+1</f>
        <v>10</v>
      </c>
      <c r="N15" s="64">
        <f t="shared" ref="N15" si="43">M15+1</f>
        <v>11</v>
      </c>
      <c r="O15" s="64">
        <f t="shared" ref="O15" si="44">N15+1</f>
        <v>12</v>
      </c>
      <c r="P15" s="64">
        <f t="shared" ref="P15" si="45">O15+1</f>
        <v>13</v>
      </c>
      <c r="Q15" s="64">
        <f t="shared" ref="Q15" si="46">P15+1</f>
        <v>14</v>
      </c>
      <c r="R15" s="64">
        <f t="shared" ref="R15" si="47">Q15+1</f>
        <v>15</v>
      </c>
      <c r="S15" s="64">
        <f t="shared" ref="S15" si="48">R15+1</f>
        <v>16</v>
      </c>
      <c r="T15" s="64">
        <f t="shared" ref="T15" si="49">S15+1</f>
        <v>17</v>
      </c>
      <c r="U15" s="64">
        <f t="shared" ref="U15" si="50">T15+1</f>
        <v>18</v>
      </c>
      <c r="V15" s="64">
        <f t="shared" ref="V15" si="51">U15+1</f>
        <v>19</v>
      </c>
      <c r="W15" s="64">
        <f t="shared" ref="W15" si="52">V15+1</f>
        <v>20</v>
      </c>
      <c r="X15" s="64">
        <f t="shared" ref="X15" si="53">W15+1</f>
        <v>21</v>
      </c>
      <c r="Y15" s="64">
        <f t="shared" ref="Y15" si="54">X15+1</f>
        <v>22</v>
      </c>
      <c r="Z15" s="64">
        <f t="shared" ref="Z15" si="55">Y15+1</f>
        <v>23</v>
      </c>
      <c r="AA15" s="64">
        <f t="shared" ref="AA15" si="56">Z15+1</f>
        <v>24</v>
      </c>
      <c r="AB15" s="64">
        <f t="shared" ref="AB15" si="57">AA15+1</f>
        <v>25</v>
      </c>
      <c r="AC15" s="64">
        <f t="shared" ref="AC15" si="58">AB15+1</f>
        <v>26</v>
      </c>
      <c r="AD15" s="64">
        <f t="shared" ref="AD15" si="59">AC15+1</f>
        <v>27</v>
      </c>
      <c r="AE15" s="64">
        <f t="shared" ref="AE15" si="60">AD15+1</f>
        <v>28</v>
      </c>
      <c r="AF15" s="64">
        <f t="shared" ref="AF15" si="61">AE15+1</f>
        <v>29</v>
      </c>
      <c r="AG15" s="64">
        <f t="shared" ref="AG15" si="62">AF15+1</f>
        <v>30</v>
      </c>
      <c r="AH15" s="64">
        <f t="shared" ref="AH15" si="63">AG15+1</f>
        <v>31</v>
      </c>
      <c r="AI15" s="64">
        <f t="shared" ref="AI15" si="64">AH15+1</f>
        <v>32</v>
      </c>
      <c r="AJ15" s="64">
        <f t="shared" ref="AJ15" si="65">AI15+1</f>
        <v>33</v>
      </c>
      <c r="AK15" s="64">
        <f t="shared" ref="AK15" si="66">AJ15+1</f>
        <v>34</v>
      </c>
      <c r="AL15" s="64">
        <f t="shared" ref="AL15" si="67">AK15+1</f>
        <v>35</v>
      </c>
      <c r="AM15" s="57"/>
    </row>
    <row r="16" spans="1:39" ht="16.149999999999999" customHeight="1" x14ac:dyDescent="0.2">
      <c r="A16" s="57"/>
      <c r="B16" s="79" t="s">
        <v>90</v>
      </c>
      <c r="C16" s="113">
        <f t="shared" ref="C16:C23" si="68">SUM(D16:AL16)</f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57"/>
    </row>
    <row r="17" spans="1:39" ht="16.149999999999999" customHeight="1" x14ac:dyDescent="0.2">
      <c r="A17" s="57"/>
      <c r="B17" s="79" t="s">
        <v>91</v>
      </c>
      <c r="C17" s="113">
        <f t="shared" si="68"/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57"/>
    </row>
    <row r="18" spans="1:39" ht="16.149999999999999" customHeight="1" x14ac:dyDescent="0.2">
      <c r="A18" s="57"/>
      <c r="B18" s="79" t="s">
        <v>92</v>
      </c>
      <c r="C18" s="113">
        <f t="shared" si="68"/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57"/>
    </row>
    <row r="19" spans="1:39" ht="16.149999999999999" customHeight="1" x14ac:dyDescent="0.2">
      <c r="A19" s="57"/>
      <c r="B19" s="79" t="s">
        <v>93</v>
      </c>
      <c r="C19" s="113">
        <f t="shared" si="68"/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57"/>
    </row>
    <row r="20" spans="1:39" ht="16.149999999999999" customHeight="1" x14ac:dyDescent="0.2">
      <c r="A20" s="57"/>
      <c r="B20" s="79" t="s">
        <v>94</v>
      </c>
      <c r="C20" s="113">
        <f t="shared" si="68"/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57"/>
    </row>
    <row r="21" spans="1:39" ht="16.149999999999999" customHeight="1" x14ac:dyDescent="0.2">
      <c r="A21" s="57"/>
      <c r="B21" s="79" t="s">
        <v>95</v>
      </c>
      <c r="C21" s="113">
        <f t="shared" si="68"/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57"/>
    </row>
    <row r="22" spans="1:39" ht="16.149999999999999" customHeight="1" x14ac:dyDescent="0.2">
      <c r="A22" s="57"/>
      <c r="B22" s="79" t="s">
        <v>96</v>
      </c>
      <c r="C22" s="113">
        <f t="shared" si="68"/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57"/>
    </row>
    <row r="23" spans="1:39" ht="16.149999999999999" customHeight="1" thickBot="1" x14ac:dyDescent="0.25">
      <c r="A23" s="57"/>
      <c r="B23" s="80" t="s">
        <v>97</v>
      </c>
      <c r="C23" s="114">
        <f t="shared" si="68"/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5">
        <v>0</v>
      </c>
      <c r="AD23" s="115">
        <v>0</v>
      </c>
      <c r="AE23" s="115">
        <v>0</v>
      </c>
      <c r="AF23" s="115">
        <v>0</v>
      </c>
      <c r="AG23" s="115">
        <v>0</v>
      </c>
      <c r="AH23" s="115">
        <v>0</v>
      </c>
      <c r="AI23" s="115">
        <v>0</v>
      </c>
      <c r="AJ23" s="115">
        <v>0</v>
      </c>
      <c r="AK23" s="115">
        <v>0</v>
      </c>
      <c r="AL23" s="115">
        <v>0</v>
      </c>
      <c r="AM23" s="57"/>
    </row>
    <row r="24" spans="1:39" ht="16.149999999999999" customHeight="1" thickBot="1" x14ac:dyDescent="0.25">
      <c r="A24" s="57"/>
      <c r="B24" s="76" t="s">
        <v>100</v>
      </c>
      <c r="C24" s="54">
        <f>SUM(C16:C23)</f>
        <v>0</v>
      </c>
      <c r="D24" s="54">
        <f>SUM(D16:D23)</f>
        <v>0</v>
      </c>
      <c r="E24" s="54">
        <f t="shared" ref="E24:AL24" si="69">SUM(E16:E23)</f>
        <v>0</v>
      </c>
      <c r="F24" s="54">
        <f t="shared" si="69"/>
        <v>0</v>
      </c>
      <c r="G24" s="54">
        <f t="shared" si="69"/>
        <v>0</v>
      </c>
      <c r="H24" s="54">
        <f t="shared" si="69"/>
        <v>0</v>
      </c>
      <c r="I24" s="54">
        <f t="shared" si="69"/>
        <v>0</v>
      </c>
      <c r="J24" s="54">
        <f t="shared" si="69"/>
        <v>0</v>
      </c>
      <c r="K24" s="54">
        <f t="shared" si="69"/>
        <v>0</v>
      </c>
      <c r="L24" s="54">
        <f t="shared" si="69"/>
        <v>0</v>
      </c>
      <c r="M24" s="54">
        <f t="shared" si="69"/>
        <v>0</v>
      </c>
      <c r="N24" s="54">
        <f t="shared" si="69"/>
        <v>0</v>
      </c>
      <c r="O24" s="54">
        <f t="shared" si="69"/>
        <v>0</v>
      </c>
      <c r="P24" s="54">
        <f t="shared" si="69"/>
        <v>0</v>
      </c>
      <c r="Q24" s="54">
        <f t="shared" si="69"/>
        <v>0</v>
      </c>
      <c r="R24" s="54">
        <f t="shared" si="69"/>
        <v>0</v>
      </c>
      <c r="S24" s="54">
        <f t="shared" si="69"/>
        <v>0</v>
      </c>
      <c r="T24" s="54">
        <f t="shared" si="69"/>
        <v>0</v>
      </c>
      <c r="U24" s="54">
        <f t="shared" si="69"/>
        <v>0</v>
      </c>
      <c r="V24" s="54">
        <f t="shared" si="69"/>
        <v>0</v>
      </c>
      <c r="W24" s="54">
        <f t="shared" si="69"/>
        <v>0</v>
      </c>
      <c r="X24" s="54">
        <f t="shared" si="69"/>
        <v>0</v>
      </c>
      <c r="Y24" s="54">
        <f t="shared" si="69"/>
        <v>0</v>
      </c>
      <c r="Z24" s="54">
        <f t="shared" si="69"/>
        <v>0</v>
      </c>
      <c r="AA24" s="54">
        <f t="shared" si="69"/>
        <v>0</v>
      </c>
      <c r="AB24" s="54">
        <f t="shared" si="69"/>
        <v>0</v>
      </c>
      <c r="AC24" s="54">
        <f t="shared" si="69"/>
        <v>0</v>
      </c>
      <c r="AD24" s="54">
        <f t="shared" si="69"/>
        <v>0</v>
      </c>
      <c r="AE24" s="54">
        <f t="shared" si="69"/>
        <v>0</v>
      </c>
      <c r="AF24" s="54">
        <f t="shared" si="69"/>
        <v>0</v>
      </c>
      <c r="AG24" s="54">
        <f t="shared" si="69"/>
        <v>0</v>
      </c>
      <c r="AH24" s="54">
        <f t="shared" si="69"/>
        <v>0</v>
      </c>
      <c r="AI24" s="54">
        <f t="shared" si="69"/>
        <v>0</v>
      </c>
      <c r="AJ24" s="54">
        <f t="shared" si="69"/>
        <v>0</v>
      </c>
      <c r="AK24" s="54">
        <f t="shared" si="69"/>
        <v>0</v>
      </c>
      <c r="AL24" s="54">
        <f t="shared" si="69"/>
        <v>0</v>
      </c>
      <c r="AM24" s="57"/>
    </row>
    <row r="25" spans="1:39" ht="16.149999999999999" customHeight="1" x14ac:dyDescent="0.25">
      <c r="A25" s="163" t="s">
        <v>223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</row>
    <row r="26" spans="1:39" ht="16.149999999999999" hidden="1" customHeight="1" x14ac:dyDescent="0.2"/>
  </sheetData>
  <sheetProtection password="D79C" sheet="1" objects="1" scenarios="1"/>
  <sortState ref="G2:G9">
    <sortCondition ref="G2:G9"/>
  </sortState>
  <mergeCells count="1">
    <mergeCell ref="B1:G1"/>
  </mergeCells>
  <conditionalFormatting sqref="B2">
    <cfRule type="expression" dxfId="5" priority="1">
      <formula>$B$2="Check Custom Depreciation Values"</formula>
    </cfRule>
  </conditionalFormatting>
  <dataValidations count="1">
    <dataValidation type="custom" allowBlank="1" showInputMessage="1" showErrorMessage="1" error="Depreciation must be a positive number or zero with a maximum of five decimal places." sqref="D16:AL23">
      <formula1>AND(D16=INT(D16*100000)/100000,D16&gt;=0,INT(D16)&lt;=9999999999999)</formula1>
    </dataValidation>
  </dataValidations>
  <printOptions horizontalCentered="1"/>
  <pageMargins left="0" right="0" top="0.75" bottom="0.75" header="0.3" footer="0.3"/>
  <pageSetup scale="21" orientation="landscape" r:id="rId1"/>
  <ignoredErrors>
    <ignoredError sqref="D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17"/>
  <sheetViews>
    <sheetView showGridLines="0" zoomScale="80" zoomScaleNormal="80" zoomScaleSheetLayoutView="80" workbookViewId="0"/>
  </sheetViews>
  <sheetFormatPr defaultColWidth="0" defaultRowHeight="16.149999999999999" customHeight="1" zeroHeight="1" x14ac:dyDescent="0.2"/>
  <cols>
    <col min="1" max="1" width="12.7109375" style="47" customWidth="1"/>
    <col min="2" max="2" width="80.7109375" style="47" customWidth="1"/>
    <col min="3" max="3" width="40.7109375" style="47" customWidth="1"/>
    <col min="4" max="4" width="10.7109375" style="47" customWidth="1"/>
    <col min="5" max="16384" width="8.85546875" style="47" hidden="1"/>
  </cols>
  <sheetData>
    <row r="1" spans="1:4" ht="16.149999999999999" customHeight="1" thickBot="1" x14ac:dyDescent="0.25">
      <c r="A1" s="57" t="s">
        <v>226</v>
      </c>
      <c r="B1" s="57"/>
      <c r="C1" s="57"/>
      <c r="D1" s="57"/>
    </row>
    <row r="2" spans="1:4" ht="16.149999999999999" customHeight="1" thickBot="1" x14ac:dyDescent="0.3">
      <c r="A2" s="57"/>
      <c r="B2" s="48" t="s">
        <v>158</v>
      </c>
      <c r="C2" s="49"/>
      <c r="D2" s="57"/>
    </row>
    <row r="3" spans="1:4" ht="16.149999999999999" customHeight="1" x14ac:dyDescent="0.2">
      <c r="A3" s="57"/>
      <c r="B3" s="51" t="s">
        <v>185</v>
      </c>
      <c r="C3" s="44">
        <v>0</v>
      </c>
      <c r="D3" s="57"/>
    </row>
    <row r="4" spans="1:4" ht="16.149999999999999" customHeight="1" x14ac:dyDescent="0.2">
      <c r="A4" s="57"/>
      <c r="B4" s="51" t="s">
        <v>144</v>
      </c>
      <c r="C4" s="44">
        <v>0</v>
      </c>
      <c r="D4" s="57"/>
    </row>
    <row r="5" spans="1:4" ht="16.149999999999999" customHeight="1" x14ac:dyDescent="0.2">
      <c r="A5" s="57"/>
      <c r="B5" s="51" t="s">
        <v>145</v>
      </c>
      <c r="C5" s="44">
        <v>0</v>
      </c>
      <c r="D5" s="57"/>
    </row>
    <row r="6" spans="1:4" ht="16.149999999999999" customHeight="1" x14ac:dyDescent="0.2">
      <c r="A6" s="57"/>
      <c r="B6" s="51" t="s">
        <v>146</v>
      </c>
      <c r="C6" s="44">
        <v>0</v>
      </c>
      <c r="D6" s="57"/>
    </row>
    <row r="7" spans="1:4" ht="16.149999999999999" customHeight="1" thickBot="1" x14ac:dyDescent="0.25">
      <c r="A7" s="57"/>
      <c r="B7" s="51" t="s">
        <v>147</v>
      </c>
      <c r="C7" s="44">
        <v>0</v>
      </c>
      <c r="D7" s="57"/>
    </row>
    <row r="8" spans="1:4" ht="16.149999999999999" customHeight="1" thickBot="1" x14ac:dyDescent="0.25">
      <c r="A8" s="57"/>
      <c r="B8" s="83" t="s">
        <v>184</v>
      </c>
      <c r="C8" s="54">
        <f>SUM(C3:C7)</f>
        <v>0</v>
      </c>
      <c r="D8" s="57"/>
    </row>
    <row r="9" spans="1:4" ht="16.149999999999999" customHeight="1" x14ac:dyDescent="0.2">
      <c r="A9" s="57"/>
      <c r="B9" s="50" t="s">
        <v>149</v>
      </c>
      <c r="C9" s="44">
        <v>0</v>
      </c>
      <c r="D9" s="57"/>
    </row>
    <row r="10" spans="1:4" ht="16.149999999999999" customHeight="1" x14ac:dyDescent="0.2">
      <c r="A10" s="57"/>
      <c r="B10" s="50" t="s">
        <v>150</v>
      </c>
      <c r="C10" s="44">
        <v>0</v>
      </c>
      <c r="D10" s="57"/>
    </row>
    <row r="11" spans="1:4" ht="16.149999999999999" customHeight="1" x14ac:dyDescent="0.2">
      <c r="A11" s="57"/>
      <c r="B11" s="50" t="s">
        <v>151</v>
      </c>
      <c r="C11" s="44">
        <v>0</v>
      </c>
      <c r="D11" s="57"/>
    </row>
    <row r="12" spans="1:4" ht="16.149999999999999" customHeight="1" x14ac:dyDescent="0.2">
      <c r="A12" s="57"/>
      <c r="B12" s="50" t="s">
        <v>245</v>
      </c>
      <c r="C12" s="44">
        <v>0</v>
      </c>
      <c r="D12" s="57" t="str">
        <f>IF(AND(Section1!C18&lt;&gt;"Production Tax Credit",Section9!C12&lt;&gt;0),"Check","")</f>
        <v/>
      </c>
    </row>
    <row r="13" spans="1:4" ht="16.149999999999999" customHeight="1" thickBot="1" x14ac:dyDescent="0.25">
      <c r="A13" s="57"/>
      <c r="B13" s="51" t="s">
        <v>148</v>
      </c>
      <c r="C13" s="44">
        <v>0</v>
      </c>
      <c r="D13" s="57"/>
    </row>
    <row r="14" spans="1:4" ht="16.149999999999999" customHeight="1" thickBot="1" x14ac:dyDescent="0.25">
      <c r="A14" s="57"/>
      <c r="B14" s="83" t="s">
        <v>166</v>
      </c>
      <c r="C14" s="54">
        <f>SUM(C8,C12,C13,C9,C11)-C10</f>
        <v>0</v>
      </c>
      <c r="D14" s="57"/>
    </row>
    <row r="15" spans="1:4" ht="16.149999999999999" customHeight="1" thickBot="1" x14ac:dyDescent="0.25">
      <c r="A15" s="57"/>
      <c r="B15" s="52" t="s">
        <v>128</v>
      </c>
      <c r="C15" s="164"/>
      <c r="D15" s="57"/>
    </row>
    <row r="16" spans="1:4" ht="16.149999999999999" customHeight="1" x14ac:dyDescent="0.25">
      <c r="A16" s="163" t="s">
        <v>223</v>
      </c>
      <c r="B16" s="57"/>
      <c r="C16" s="57"/>
      <c r="D16" s="57"/>
    </row>
    <row r="17" ht="16.149999999999999" hidden="1" customHeight="1" x14ac:dyDescent="0.2"/>
  </sheetData>
  <sheetProtection password="D79C" sheet="1" objects="1" scenarios="1"/>
  <conditionalFormatting sqref="D12">
    <cfRule type="expression" dxfId="4" priority="1">
      <formula>D12="Check"</formula>
    </cfRule>
  </conditionalFormatting>
  <dataValidations count="3">
    <dataValidation type="custom" allowBlank="1" showInputMessage="1" showErrorMessage="1" error="Costs must be a number with a maximum of two decimal places." sqref="C10">
      <formula1>AND(C10=INT(C10*100)/100,INT(C10)&lt;=9999999999999)</formula1>
    </dataValidation>
    <dataValidation type="custom" allowBlank="1" showInputMessage="1" showErrorMessage="1" error="Revenues must be a number with a maximum of two decimal places." sqref="C3:C7 C9 C11 C13">
      <formula1>AND(C3=INT(C3*100)/100,INT(C3)&lt;=9999999999999)</formula1>
    </dataValidation>
    <dataValidation allowBlank="1" showInputMessage="1" showErrorMessage="1" error="Revenues must be a number with a maximum of two decimal places." sqref="C14"/>
  </dataValidations>
  <pageMargins left="0.7" right="0.7" top="0.75" bottom="0.75" header="0.3" footer="0.3"/>
  <pageSetup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Revenues must be a number with a maximum of two decimal places. Tax Credit Election in Section 1 must equal &quot;Production Tax Credit.&quot;">
          <x14:formula1>
            <xm:f>OR(AND(C12=INT(C12*100)/100,INT(C12)&lt;=9999999999999,Section1!C18="Production Tax Credit"),AND(Section1!C18&lt;&gt;"Production Tax Credit",C12=0))</xm:f>
          </x14:formula1>
          <xm:sqref>C12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DEF1FE2251C4D88A91A2B40398D99" ma:contentTypeVersion="40" ma:contentTypeDescription="Create a new document." ma:contentTypeScope="" ma:versionID="9b7cea461ba7dde5087c17b88b262032">
  <xsd:schema xmlns:xsd="http://www.w3.org/2001/XMLSchema" xmlns:xs="http://www.w3.org/2001/XMLSchema" xmlns:p="http://schemas.microsoft.com/office/2006/metadata/properties" xmlns:ns2="6afa1ab1-c51d-411d-a97a-ff65c9e22441" targetNamespace="http://schemas.microsoft.com/office/2006/metadata/properties" ma:root="true" ma:fieldsID="5896b7d520348192023daf0bc572a353" ns2:_="">
    <xsd:import namespace="6afa1ab1-c51d-411d-a97a-ff65c9e22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a1ab1-c51d-411d-a97a-ff65c9e22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EC88B8-56E9-4EB2-A4E0-7F4DBB3DE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8CD5C-604E-4787-9DBC-FA6BD746676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afa1ab1-c51d-411d-a97a-ff65c9e2244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349028-306E-48AC-B45A-36F71C8CB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a1ab1-c51d-411d-a97a-ff65c9e22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864EEEF-DD3C-4A4C-8BB7-055B298C5E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Section1</vt:lpstr>
      <vt:lpstr>Section2</vt:lpstr>
      <vt:lpstr>Section3</vt:lpstr>
      <vt:lpstr>Section4</vt:lpstr>
      <vt:lpstr>Section5</vt:lpstr>
      <vt:lpstr>Section6</vt:lpstr>
      <vt:lpstr>Section7</vt:lpstr>
      <vt:lpstr>Section8</vt:lpstr>
      <vt:lpstr>Section9</vt:lpstr>
      <vt:lpstr>Section10</vt:lpstr>
      <vt:lpstr>DepreciationITCLookUp</vt:lpstr>
      <vt:lpstr>ProformaModel</vt:lpstr>
      <vt:lpstr>DemandResource</vt:lpstr>
      <vt:lpstr>EnergyEfficiencyResource</vt:lpstr>
      <vt:lpstr>Generation</vt:lpstr>
      <vt:lpstr>ITCOnly</vt:lpstr>
      <vt:lpstr>NotTaxCreditEligible</vt:lpstr>
      <vt:lpstr>NotTaxCreditEligible2</vt:lpstr>
      <vt:lpstr>DepreciationITCLookUp!Print_Area</vt:lpstr>
      <vt:lpstr>DropDown!Print_Area</vt:lpstr>
      <vt:lpstr>ProformaModel!Print_Area</vt:lpstr>
      <vt:lpstr>Section1!Print_Area</vt:lpstr>
      <vt:lpstr>Section10!Print_Area</vt:lpstr>
      <vt:lpstr>Section2!Print_Area</vt:lpstr>
      <vt:lpstr>Section3!Print_Area</vt:lpstr>
      <vt:lpstr>Section4!Print_Area</vt:lpstr>
      <vt:lpstr>Section5!Print_Area</vt:lpstr>
      <vt:lpstr>Section6!Print_Area</vt:lpstr>
      <vt:lpstr>Section7!Print_Area</vt:lpstr>
      <vt:lpstr>Section8!Print_Area</vt:lpstr>
      <vt:lpstr>Section9!Print_Area</vt:lpstr>
      <vt:lpstr>PTCOnly</vt:lpstr>
      <vt:lpstr>TaxCreditEligible</vt:lpstr>
      <vt:lpstr>TaxCreditEligible2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Keri Dorko</dc:creator>
  <cp:lastModifiedBy>Suzette Krausen</cp:lastModifiedBy>
  <cp:lastPrinted>2020-12-09T14:49:23Z</cp:lastPrinted>
  <dcterms:created xsi:type="dcterms:W3CDTF">2020-02-07T16:55:53Z</dcterms:created>
  <dcterms:modified xsi:type="dcterms:W3CDTF">2023-01-13T14:34:21Z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0x010100360DEF1FE2251C4D88A91A2B40398D99</vt:lpwstr>
  </property>
  <property fmtid="{D5CDD505-2E9C-101B-9397-08002B2CF9AE}" pid="3" name="Order">
    <vt:r8>15176400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lc_DocIdItemGuid">
    <vt:lpwstr>714d955e-ae63-4a0e-89a4-b75846650fc6</vt:lpwstr>
  </property>
  <property fmtid="{D5CDD505-2E9C-101B-9397-08002B2CF9AE}" pid="7" name="_dlc_DocId">
    <vt:lpwstr>MUPMUYPVAE2Q-900932003-158668</vt:lpwstr>
  </property>
  <property fmtid="{D5CDD505-2E9C-101B-9397-08002B2CF9AE}" pid="8" name="_dlc_DocIdUrl">
    <vt:lpwstr>http://portal.ma.corp/Docs/_layouts/15/DocIdRedir.aspx?ID=MUPMUYPVAE2Q-900932003-158668, MUPMUYPVAE2Q-900932003-158668</vt:lpwstr>
  </property>
</Properties>
</file>