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krausen\Desktop\"/>
    </mc:Choice>
  </mc:AlternateContent>
  <bookViews>
    <workbookView xWindow="0" yWindow="0" windowWidth="23040" windowHeight="8325" tabRatio="835" activeTab="2"/>
  </bookViews>
  <sheets>
    <sheet name="EX 1 Mid Year Convention" sheetId="14" r:id="rId1"/>
    <sheet name="IRR Calculations" sheetId="16" r:id="rId2"/>
    <sheet name="Parameter Assumptions" sheetId="8" r:id="rId3"/>
    <sheet name="CRF Formulas" sheetId="10" r:id="rId4"/>
    <sheet name="Depreciation Factors" sheetId="9" r:id="rId5"/>
  </sheets>
  <definedNames>
    <definedName name="solver_adj" localSheetId="0" hidden="1">'EX 1 Mid Year Convention'!#REF!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'EX 1 Mid Year Convention'!#REF!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4" l="1"/>
  <c r="D15" i="14"/>
  <c r="C15" i="14"/>
  <c r="B15" i="14"/>
  <c r="B11" i="14" l="1"/>
  <c r="J14" i="14" l="1"/>
  <c r="C4" i="16" l="1"/>
  <c r="C3" i="16" l="1"/>
  <c r="B8" i="8" l="1"/>
  <c r="J17" i="9"/>
  <c r="B13" i="14" l="1"/>
  <c r="B3" i="14"/>
  <c r="J3" i="14"/>
  <c r="I22" i="9" l="1"/>
  <c r="G22" i="9"/>
  <c r="F22" i="9"/>
  <c r="E22" i="9"/>
  <c r="K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K4" i="9"/>
  <c r="J4" i="9"/>
  <c r="K3" i="9"/>
  <c r="K22" i="9" s="1"/>
  <c r="J3" i="9"/>
  <c r="A3" i="9"/>
  <c r="B3" i="9" s="1"/>
  <c r="K2" i="9"/>
  <c r="J2" i="9"/>
  <c r="H2" i="9"/>
  <c r="B2" i="9"/>
  <c r="C2" i="9" s="1"/>
  <c r="B3" i="8"/>
  <c r="J22" i="9" l="1"/>
  <c r="J13" i="14"/>
  <c r="B10" i="8"/>
  <c r="B9" i="8"/>
  <c r="B10" i="14"/>
  <c r="C10" i="14"/>
  <c r="K10" i="14"/>
  <c r="J10" i="14"/>
  <c r="C3" i="9"/>
  <c r="H3" i="9"/>
  <c r="A4" i="9"/>
  <c r="J12" i="14" l="1"/>
  <c r="B17" i="14"/>
  <c r="C11" i="14" s="1"/>
  <c r="D3" i="9"/>
  <c r="D2" i="9"/>
  <c r="B4" i="9"/>
  <c r="A5" i="9"/>
  <c r="H4" i="9"/>
  <c r="C17" i="14" l="1"/>
  <c r="D11" i="14" s="1"/>
  <c r="D10" i="14"/>
  <c r="L10" i="14"/>
  <c r="D4" i="9"/>
  <c r="C4" i="9"/>
  <c r="B5" i="9"/>
  <c r="A6" i="9"/>
  <c r="H5" i="9"/>
  <c r="D17" i="14" l="1"/>
  <c r="E11" i="14" s="1"/>
  <c r="E15" i="14" s="1"/>
  <c r="E10" i="14"/>
  <c r="M10" i="14"/>
  <c r="C5" i="9"/>
  <c r="D5" i="9"/>
  <c r="H6" i="9"/>
  <c r="B6" i="9"/>
  <c r="A7" i="9"/>
  <c r="E17" i="14" l="1"/>
  <c r="F11" i="14" s="1"/>
  <c r="F10" i="14"/>
  <c r="N10" i="14"/>
  <c r="D6" i="9"/>
  <c r="C6" i="9"/>
  <c r="B7" i="9"/>
  <c r="A8" i="9"/>
  <c r="H7" i="9"/>
  <c r="F17" i="14" l="1"/>
  <c r="D7" i="9"/>
  <c r="C7" i="9"/>
  <c r="H8" i="9"/>
  <c r="B8" i="9"/>
  <c r="A9" i="9"/>
  <c r="D8" i="9" l="1"/>
  <c r="C8" i="9"/>
  <c r="H9" i="9"/>
  <c r="B9" i="9"/>
  <c r="A10" i="9"/>
  <c r="A11" i="9" l="1"/>
  <c r="H10" i="9"/>
  <c r="B10" i="9"/>
  <c r="D9" i="9"/>
  <c r="C9" i="9"/>
  <c r="D10" i="9" l="1"/>
  <c r="C10" i="9"/>
  <c r="B11" i="9"/>
  <c r="A12" i="9"/>
  <c r="H11" i="9"/>
  <c r="A13" i="9" l="1"/>
  <c r="H12" i="9"/>
  <c r="B12" i="9"/>
  <c r="D11" i="9"/>
  <c r="C11" i="9"/>
  <c r="C12" i="9" l="1"/>
  <c r="D12" i="9"/>
  <c r="B13" i="9"/>
  <c r="A14" i="9"/>
  <c r="H13" i="9"/>
  <c r="H14" i="9" l="1"/>
  <c r="B14" i="9"/>
  <c r="A15" i="9"/>
  <c r="D13" i="9"/>
  <c r="C13" i="9"/>
  <c r="H15" i="9" l="1"/>
  <c r="B15" i="9"/>
  <c r="A16" i="9"/>
  <c r="D14" i="9"/>
  <c r="C14" i="9"/>
  <c r="D15" i="9" l="1"/>
  <c r="C15" i="9"/>
  <c r="H16" i="9"/>
  <c r="B16" i="9"/>
  <c r="A17" i="9"/>
  <c r="A18" i="9" l="1"/>
  <c r="H17" i="9"/>
  <c r="B17" i="9"/>
  <c r="D16" i="9"/>
  <c r="C16" i="9"/>
  <c r="D17" i="9" l="1"/>
  <c r="C17" i="9"/>
  <c r="B18" i="9"/>
  <c r="A19" i="9"/>
  <c r="H18" i="9"/>
  <c r="H19" i="9" l="1"/>
  <c r="B19" i="9"/>
  <c r="A20" i="9"/>
  <c r="D18" i="9"/>
  <c r="C18" i="9"/>
  <c r="H20" i="9" l="1"/>
  <c r="B20" i="9"/>
  <c r="A21" i="9"/>
  <c r="C19" i="9"/>
  <c r="D19" i="9"/>
  <c r="D20" i="9" l="1"/>
  <c r="C20" i="9"/>
  <c r="B21" i="9"/>
  <c r="H21" i="9"/>
  <c r="H22" i="9" s="1"/>
  <c r="D21" i="9" l="1"/>
  <c r="D22" i="9" s="1"/>
  <c r="J4" i="14" s="1"/>
  <c r="C21" i="9"/>
  <c r="C22" i="9" s="1"/>
  <c r="B4" i="14" s="1"/>
  <c r="B22" i="9"/>
  <c r="B5" i="14" l="1"/>
  <c r="F9" i="14" l="1"/>
  <c r="F12" i="14" s="1"/>
  <c r="C9" i="14"/>
  <c r="C12" i="14" s="1"/>
  <c r="E9" i="14"/>
  <c r="E12" i="14" s="1"/>
  <c r="D9" i="14"/>
  <c r="B9" i="14"/>
  <c r="M9" i="14"/>
  <c r="M11" i="14" s="1"/>
  <c r="J5" i="14"/>
  <c r="L9" i="14"/>
  <c r="L11" i="14" s="1"/>
  <c r="K9" i="14"/>
  <c r="K11" i="14" s="1"/>
  <c r="J9" i="14"/>
  <c r="N9" i="14"/>
  <c r="N11" i="14" s="1"/>
  <c r="B12" i="14" l="1"/>
  <c r="B14" i="14" s="1"/>
  <c r="J11" i="14"/>
  <c r="J15" i="14" s="1"/>
  <c r="D12" i="14"/>
  <c r="J17" i="14" l="1"/>
  <c r="J16" i="14"/>
  <c r="B16" i="14"/>
  <c r="B19" i="14" l="1"/>
  <c r="B20" i="14" s="1"/>
  <c r="D3" i="16" s="1"/>
  <c r="B18" i="14"/>
  <c r="C13" i="14" s="1"/>
  <c r="J20" i="14"/>
  <c r="J21" i="14" s="1"/>
  <c r="D4" i="16" s="1"/>
  <c r="J18" i="14"/>
  <c r="J19" i="14"/>
  <c r="K14" i="14" s="1"/>
  <c r="K12" i="14" l="1"/>
  <c r="K13" i="14"/>
  <c r="C14" i="14"/>
  <c r="K15" i="14" l="1"/>
  <c r="K16" i="14" s="1"/>
  <c r="K18" i="14" s="1"/>
  <c r="L12" i="14" s="1"/>
  <c r="C16" i="14"/>
  <c r="K17" i="14" l="1"/>
  <c r="K20" i="14" s="1"/>
  <c r="K21" i="14" s="1"/>
  <c r="E4" i="16" s="1"/>
  <c r="C19" i="14"/>
  <c r="C20" i="14" s="1"/>
  <c r="E3" i="16" s="1"/>
  <c r="C18" i="14"/>
  <c r="D13" i="14" s="1"/>
  <c r="L13" i="14"/>
  <c r="K19" i="14" l="1"/>
  <c r="L14" i="14" s="1"/>
  <c r="D14" i="14"/>
  <c r="D16" i="14" l="1"/>
  <c r="D19" i="14" s="1"/>
  <c r="L15" i="14"/>
  <c r="D20" i="14" l="1"/>
  <c r="F3" i="16" s="1"/>
  <c r="D18" i="14"/>
  <c r="E13" i="14" s="1"/>
  <c r="L16" i="14"/>
  <c r="L17" i="14"/>
  <c r="E14" i="14" l="1"/>
  <c r="L19" i="14"/>
  <c r="M14" i="14" s="1"/>
  <c r="L18" i="14"/>
  <c r="L20" i="14"/>
  <c r="L21" i="14" s="1"/>
  <c r="F4" i="16" s="1"/>
  <c r="E16" i="14" l="1"/>
  <c r="E19" i="14" s="1"/>
  <c r="M12" i="14"/>
  <c r="M13" i="14"/>
  <c r="E18" i="14" l="1"/>
  <c r="F13" i="14" s="1"/>
  <c r="E20" i="14"/>
  <c r="G3" i="16" s="1"/>
  <c r="M15" i="14"/>
  <c r="M16" i="14" s="1"/>
  <c r="F14" i="14" l="1"/>
  <c r="M17" i="14"/>
  <c r="M19" i="14" s="1"/>
  <c r="N14" i="14" s="1"/>
  <c r="M18" i="14"/>
  <c r="N12" i="14" s="1"/>
  <c r="F16" i="14" l="1"/>
  <c r="M20" i="14"/>
  <c r="M21" i="14" s="1"/>
  <c r="G4" i="16" s="1"/>
  <c r="N13" i="14"/>
  <c r="F18" i="14" l="1"/>
  <c r="F19" i="14"/>
  <c r="F20" i="14" s="1"/>
  <c r="H3" i="16" s="1"/>
  <c r="B21" i="14" s="1"/>
  <c r="N15" i="14"/>
  <c r="N16" i="14" s="1"/>
  <c r="N18" i="14" s="1"/>
  <c r="N17" i="14" l="1"/>
  <c r="N19" i="14" s="1"/>
  <c r="N20" i="14" l="1"/>
  <c r="N21" i="14" s="1"/>
  <c r="H4" i="16" s="1"/>
  <c r="J22" i="14" s="1"/>
</calcChain>
</file>

<file path=xl/sharedStrings.xml><?xml version="1.0" encoding="utf-8"?>
<sst xmlns="http://schemas.openxmlformats.org/spreadsheetml/2006/main" count="107" uniqueCount="87">
  <si>
    <t>B60M15</t>
  </si>
  <si>
    <t>B80M15</t>
  </si>
  <si>
    <t>B100</t>
  </si>
  <si>
    <t>STLN</t>
  </si>
  <si>
    <t>M15</t>
  </si>
  <si>
    <t>M5</t>
  </si>
  <si>
    <t>M3</t>
  </si>
  <si>
    <t>Factor</t>
  </si>
  <si>
    <t>Year</t>
  </si>
  <si>
    <t>Depreciation</t>
  </si>
  <si>
    <t>Revenue</t>
  </si>
  <si>
    <t>Capital Recovery Year</t>
  </si>
  <si>
    <t>N</t>
  </si>
  <si>
    <t>Capital Investment</t>
  </si>
  <si>
    <t>Debt rate</t>
  </si>
  <si>
    <t>Equity rate</t>
  </si>
  <si>
    <t>Debt funding percent</t>
  </si>
  <si>
    <t>Equity funding percent</t>
  </si>
  <si>
    <t>Parameter 
Value</t>
  </si>
  <si>
    <t>Parameter</t>
  </si>
  <si>
    <r>
      <t>CRF</t>
    </r>
    <r>
      <rPr>
        <b/>
        <vertAlign val="superscript"/>
        <sz val="12"/>
        <color theme="0"/>
        <rFont val="Arial Narrow"/>
        <family val="2"/>
      </rPr>
      <t>(2)</t>
    </r>
  </si>
  <si>
    <t>&lt;= Input one of {STLN, M3, M5, M15, B100, B80M15, B60M15}</t>
  </si>
  <si>
    <t>Debt Remaining</t>
  </si>
  <si>
    <t>Equity Remaining</t>
  </si>
  <si>
    <t>Total Investment</t>
  </si>
  <si>
    <t>Annual Revenue</t>
  </si>
  <si>
    <t xml:space="preserve">Gross Income Tax </t>
  </si>
  <si>
    <r>
      <t>CRF</t>
    </r>
    <r>
      <rPr>
        <b/>
        <vertAlign val="superscript"/>
        <sz val="12"/>
        <color theme="0"/>
        <rFont val="Arial Narrow"/>
        <family val="2"/>
      </rPr>
      <t>(1)</t>
    </r>
  </si>
  <si>
    <t>Sums</t>
  </si>
  <si>
    <t>Flow to Equity Approach - Non Constant D/E with Mid Year Payments</t>
  </si>
  <si>
    <t>Discounted at  return on equity</t>
  </si>
  <si>
    <t>Discounted at WACC</t>
  </si>
  <si>
    <t>Return on equity</t>
  </si>
  <si>
    <t>s</t>
  </si>
  <si>
    <t>E</t>
  </si>
  <si>
    <r>
      <t>r</t>
    </r>
    <r>
      <rPr>
        <vertAlign val="subscript"/>
        <sz val="12"/>
        <color theme="1"/>
        <rFont val="Arial Narrow"/>
        <family val="2"/>
      </rPr>
      <t>e</t>
    </r>
  </si>
  <si>
    <r>
      <t>r</t>
    </r>
    <r>
      <rPr>
        <vertAlign val="subscript"/>
        <sz val="12"/>
        <color theme="1"/>
        <rFont val="Arial Narrow"/>
        <family val="2"/>
      </rPr>
      <t>d</t>
    </r>
  </si>
  <si>
    <r>
      <t>δ</t>
    </r>
    <r>
      <rPr>
        <vertAlign val="subscript"/>
        <sz val="12"/>
        <color theme="1"/>
        <rFont val="Arial Narrow"/>
        <family val="2"/>
      </rPr>
      <t>j</t>
    </r>
  </si>
  <si>
    <t>K</t>
  </si>
  <si>
    <t>Capital investment</t>
  </si>
  <si>
    <t>Debt rate of interest</t>
  </si>
  <si>
    <t>Cost recovery period</t>
  </si>
  <si>
    <t>Tax depreciation schedule</t>
  </si>
  <si>
    <t>Cost recovery period (years)</t>
  </si>
  <si>
    <t>Tax depreciation factor in year j</t>
  </si>
  <si>
    <t>Parameter Symbol</t>
  </si>
  <si>
    <t>WACC Approach - Constant D/E with Mid Year Payments</t>
  </si>
  <si>
    <t>&lt;= Input 1 to override CRF formula and use the the 5 year CRF (0.363) that is the basis for Pre-June 6, 2021 black start revenue payments</t>
  </si>
  <si>
    <t>CRF Override Flag</t>
  </si>
  <si>
    <t>CRF formula assuming mid year revenue, tax and debt payments with non constant D/E ratio and annual debt payments given by the formula below. 
Works for the FTE approach only</t>
  </si>
  <si>
    <t>Revenue in excess of taxes, interest and ROE</t>
  </si>
  <si>
    <t>After tax cash flow to equity investor</t>
  </si>
  <si>
    <t>Internal Rate of Return (IRR) to equity investors</t>
  </si>
  <si>
    <t>Financial Model</t>
  </si>
  <si>
    <t>Return on equity (ROE)</t>
  </si>
  <si>
    <t>Payment stream type</t>
  </si>
  <si>
    <t>Interest on debt</t>
  </si>
  <si>
    <t>After tax cash flow to equity investors</t>
  </si>
  <si>
    <t xml:space="preserve">Income Tax  </t>
  </si>
  <si>
    <t>Excess Revenue to equity investors</t>
  </si>
  <si>
    <r>
      <rPr>
        <vertAlign val="superscript"/>
        <sz val="12"/>
        <color theme="1"/>
        <rFont val="Arial Narrow"/>
        <family val="2"/>
      </rPr>
      <t>1</t>
    </r>
    <r>
      <rPr>
        <sz val="12"/>
        <color theme="1"/>
        <rFont val="Arial Narrow"/>
        <family val="2"/>
      </rPr>
      <t xml:space="preserve"> In a typical presentation of the cash flow associated with the WACC approach, the ROE, interest on debt and income tax shield are combined in a single number, the after-tax return on investment which is equal to the after tax WACC rate multiplied by the remaining investment. The numbers are presented separately here for comparison with the FTE approach.</t>
    </r>
  </si>
  <si>
    <t>Model A</t>
  </si>
  <si>
    <t>Model B</t>
  </si>
  <si>
    <r>
      <t>Income Tax Shield</t>
    </r>
    <r>
      <rPr>
        <vertAlign val="superscript"/>
        <sz val="12"/>
        <color theme="1"/>
        <rFont val="Arial Narrow"/>
        <family val="2"/>
      </rPr>
      <t>1 2</t>
    </r>
  </si>
  <si>
    <r>
      <t>Interest on debt</t>
    </r>
    <r>
      <rPr>
        <vertAlign val="superscript"/>
        <sz val="12"/>
        <color theme="1"/>
        <rFont val="Arial Narrow"/>
        <family val="2"/>
      </rPr>
      <t>1 2</t>
    </r>
  </si>
  <si>
    <r>
      <t>Return on Equity (ROE)</t>
    </r>
    <r>
      <rPr>
        <vertAlign val="superscript"/>
        <sz val="12"/>
        <color theme="1"/>
        <rFont val="Arial Narrow"/>
        <family val="2"/>
      </rPr>
      <t>1 2</t>
    </r>
  </si>
  <si>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The year 1 return on investment is equal to </t>
    </r>
    <r>
      <rPr>
        <b/>
        <i/>
        <sz val="12"/>
        <color theme="1"/>
        <rFont val="Arial Narrow"/>
        <family val="2"/>
      </rPr>
      <t>[(1+ AT WACC)</t>
    </r>
    <r>
      <rPr>
        <b/>
        <i/>
        <vertAlign val="superscript"/>
        <sz val="12"/>
        <color theme="1"/>
        <rFont val="Arial Narrow"/>
        <family val="2"/>
      </rPr>
      <t>(1/2)</t>
    </r>
    <r>
      <rPr>
        <b/>
        <i/>
        <sz val="12"/>
        <color theme="1"/>
        <rFont val="Arial Narrow"/>
        <family val="2"/>
      </rPr>
      <t xml:space="preserve"> -1] x Total Investment</t>
    </r>
    <r>
      <rPr>
        <sz val="12"/>
        <color theme="1"/>
        <rFont val="Arial Narrow"/>
        <family val="2"/>
      </rPr>
      <t xml:space="preserve"> and therefore cannot be algebraically separated into distinct quantities for ROE, interest on debt and the income tax shield. For this presentation, the year 1 ROE is equal to the </t>
    </r>
    <r>
      <rPr>
        <b/>
        <i/>
        <sz val="12"/>
        <color theme="1"/>
        <rFont val="Arial Narrow"/>
        <family val="2"/>
      </rPr>
      <t>[(1+ equity rate)</t>
    </r>
    <r>
      <rPr>
        <b/>
        <i/>
        <vertAlign val="superscript"/>
        <sz val="12"/>
        <color theme="1"/>
        <rFont val="Arial Narrow"/>
        <family val="2"/>
      </rPr>
      <t>(1/2)</t>
    </r>
    <r>
      <rPr>
        <b/>
        <i/>
        <sz val="12"/>
        <color theme="1"/>
        <rFont val="Arial Narrow"/>
        <family val="2"/>
      </rPr>
      <t xml:space="preserve"> -1] x Equity Investment</t>
    </r>
    <r>
      <rPr>
        <sz val="12"/>
        <color theme="1"/>
        <rFont val="Arial Narrow"/>
        <family val="2"/>
      </rPr>
      <t>, the year 1 interest on debt is</t>
    </r>
    <r>
      <rPr>
        <b/>
        <sz val="12"/>
        <color theme="1"/>
        <rFont val="Arial Narrow"/>
        <family val="2"/>
      </rPr>
      <t xml:space="preserve"> </t>
    </r>
    <r>
      <rPr>
        <b/>
        <i/>
        <sz val="12"/>
        <color theme="1"/>
        <rFont val="Arial Narrow"/>
        <family val="2"/>
      </rPr>
      <t>[(1+ debt rate)</t>
    </r>
    <r>
      <rPr>
        <b/>
        <i/>
        <vertAlign val="superscript"/>
        <sz val="12"/>
        <color theme="1"/>
        <rFont val="Arial Narrow"/>
        <family val="2"/>
      </rPr>
      <t>(1/2)</t>
    </r>
    <r>
      <rPr>
        <b/>
        <i/>
        <sz val="12"/>
        <color theme="1"/>
        <rFont val="Arial Narrow"/>
        <family val="2"/>
      </rPr>
      <t xml:space="preserve"> -1] x Debt Investment</t>
    </r>
    <r>
      <rPr>
        <sz val="12"/>
        <color theme="1"/>
        <rFont val="Arial Narrow"/>
        <family val="2"/>
      </rPr>
      <t xml:space="preserve"> and the year 1 income tax shield is equal to </t>
    </r>
    <r>
      <rPr>
        <b/>
        <i/>
        <sz val="12"/>
        <color theme="1"/>
        <rFont val="Arial Narrow"/>
        <family val="2"/>
      </rPr>
      <t>(Return on Investment ) - (ROE + Interest on Debt)</t>
    </r>
    <r>
      <rPr>
        <sz val="12"/>
        <color theme="1"/>
        <rFont val="Arial Narrow"/>
        <family val="2"/>
      </rPr>
      <t>.</t>
    </r>
  </si>
  <si>
    <t>FTE - Model A</t>
  </si>
  <si>
    <t>WACC - Model B</t>
  </si>
  <si>
    <r>
      <rPr>
        <vertAlign val="superscript"/>
        <sz val="12"/>
        <color theme="1"/>
        <rFont val="Arial Narrow"/>
        <family val="2"/>
      </rPr>
      <t>1</t>
    </r>
    <r>
      <rPr>
        <sz val="12"/>
        <color theme="1"/>
        <rFont val="Arial Narrow"/>
        <family val="2"/>
      </rPr>
      <t xml:space="preserve"> The XIRR function requires payment dates as an input. The resulting IRR value will vary slightly depending on where the leap year falls in the cost recovery period.</t>
    </r>
  </si>
  <si>
    <r>
      <t>After tax cash flow to equity investors and revenue payment date assumptions</t>
    </r>
    <r>
      <rPr>
        <b/>
        <vertAlign val="superscript"/>
        <sz val="12"/>
        <color theme="0"/>
        <rFont val="Arial Narrow"/>
        <family val="2"/>
      </rPr>
      <t>1</t>
    </r>
  </si>
  <si>
    <r>
      <t>CRF formula assuming mid year revenue, tax and debt payments and constant D/E ratio. 
Works for the WACC approach only. The formula CRF</t>
    </r>
    <r>
      <rPr>
        <vertAlign val="superscript"/>
        <sz val="12"/>
        <color theme="1"/>
        <rFont val="Arial Narrow"/>
        <family val="2"/>
      </rPr>
      <t>(2)</t>
    </r>
    <r>
      <rPr>
        <sz val="12"/>
        <color theme="1"/>
        <rFont val="Arial Narrow"/>
        <family val="2"/>
      </rPr>
      <t xml:space="preserve"> is a generlized version of the CRF formula in Schedule 6A of the PJM OATT.</t>
    </r>
  </si>
  <si>
    <t>CRF Formulas for the FTE and WACC Financial Models</t>
  </si>
  <si>
    <t>r</t>
  </si>
  <si>
    <r>
      <t>Effective income tax rate</t>
    </r>
    <r>
      <rPr>
        <vertAlign val="superscript"/>
        <sz val="12"/>
        <color theme="1"/>
        <rFont val="Arial Narrow"/>
        <family val="2"/>
      </rPr>
      <t>2</t>
    </r>
  </si>
  <si>
    <r>
      <rPr>
        <vertAlign val="superscript"/>
        <sz val="12"/>
        <color theme="1"/>
        <rFont val="Arial Narrow"/>
        <family val="2"/>
      </rPr>
      <t>1</t>
    </r>
    <r>
      <rPr>
        <sz val="12"/>
        <color theme="1"/>
        <rFont val="Arial Narrow"/>
        <family val="2"/>
      </rPr>
      <t xml:space="preserve"> r = E</t>
    </r>
    <r>
      <rPr>
        <sz val="12"/>
        <color theme="1"/>
        <rFont val="Calibri"/>
        <family val="2"/>
      </rPr>
      <t>·</t>
    </r>
    <r>
      <rPr>
        <sz val="12"/>
        <color theme="1"/>
        <rFont val="Arial Narrow"/>
        <family val="2"/>
      </rPr>
      <t>r</t>
    </r>
    <r>
      <rPr>
        <vertAlign val="subscript"/>
        <sz val="12"/>
        <color theme="1"/>
        <rFont val="Arial Narrow"/>
        <family val="2"/>
      </rPr>
      <t>e</t>
    </r>
    <r>
      <rPr>
        <sz val="12"/>
        <color theme="1"/>
        <rFont val="Arial Narrow"/>
        <family val="2"/>
      </rPr>
      <t xml:space="preserve"> + (1-s)</t>
    </r>
    <r>
      <rPr>
        <sz val="12"/>
        <color theme="1"/>
        <rFont val="Calibri"/>
        <family val="2"/>
      </rPr>
      <t>·</t>
    </r>
    <r>
      <rPr>
        <sz val="12"/>
        <color theme="1"/>
        <rFont val="Arial Narrow"/>
        <family val="2"/>
      </rPr>
      <t>(1-E)</t>
    </r>
    <r>
      <rPr>
        <sz val="12"/>
        <color theme="1"/>
        <rFont val="Calibri"/>
        <family val="2"/>
      </rPr>
      <t>·</t>
    </r>
    <r>
      <rPr>
        <sz val="12"/>
        <color theme="1"/>
        <rFont val="Arial Narrow"/>
        <family val="2"/>
      </rPr>
      <t>r</t>
    </r>
    <r>
      <rPr>
        <vertAlign val="subscript"/>
        <sz val="12"/>
        <color theme="1"/>
        <rFont val="Arial Narrow"/>
        <family val="2"/>
      </rPr>
      <t>d</t>
    </r>
  </si>
  <si>
    <t>Federal income tax rate</t>
  </si>
  <si>
    <t>State income tax rate</t>
  </si>
  <si>
    <t xml:space="preserve">Effective income tax rate </t>
  </si>
  <si>
    <t>After tax (AT) WACC</t>
  </si>
  <si>
    <t>Fefore tax (BT) WACC</t>
  </si>
  <si>
    <r>
      <t>Weighted Average Cost of Capital (WACC)</t>
    </r>
    <r>
      <rPr>
        <vertAlign val="superscript"/>
        <sz val="12"/>
        <color theme="1"/>
        <rFont val="Arial Narrow"/>
        <family val="2"/>
      </rPr>
      <t>1</t>
    </r>
  </si>
  <si>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s = state income tax rate + 
                  (1-state income tax rate)·(federal income tax rate)</t>
    </r>
  </si>
  <si>
    <t>Repayment of debt principal</t>
  </si>
  <si>
    <t>Repayment of equity investment</t>
  </si>
  <si>
    <t>IMM-0018 REV
Docket No. EL21-91-000,- 003</t>
  </si>
  <si>
    <t xml:space="preserve"> IMM-0018 REV
Docket No. EL21-91-000,- 003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</si>
</sst>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8" formatCode="&quot;$&quot;#,##0.00_);[Red]\(&quot;$&quot;#,##0.00\)"/>
    <numFmt numFmtId="164" formatCode="0.000000"/>
    <numFmt numFmtId="165" formatCode="0.0000"/>
    <numFmt numFmtId="166" formatCode="&quot;$&quot;#,##0"/>
    <numFmt numFmtId="167" formatCode="&quot;$&quot;#,##0.00"/>
    <numFmt numFmtId="168" formatCode="0.0000%"/>
    <numFmt numFmtId="169" formatCode="0.0%"/>
    <numFmt numFmtId="170" formatCode="0.00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vertAlign val="superscript"/>
      <sz val="12"/>
      <color theme="0"/>
      <name val="Arial Narrow"/>
      <family val="2"/>
    </font>
    <font>
      <vertAlign val="subscript"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4"/>
      <color theme="0"/>
      <name val="Arial Narrow"/>
      <family val="2"/>
    </font>
    <font>
      <vertAlign val="superscript"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i/>
      <vertAlign val="superscript"/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153E5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2" fillId="0" borderId="0" xfId="0" applyNumberFormat="1" applyFont="1"/>
    <xf numFmtId="0" fontId="2" fillId="0" borderId="0" xfId="0" applyFont="1"/>
    <xf numFmtId="166" fontId="2" fillId="2" borderId="0" xfId="0" applyNumberFormat="1" applyFont="1" applyFill="1"/>
    <xf numFmtId="0" fontId="2" fillId="2" borderId="0" xfId="0" applyFont="1" applyFill="1"/>
    <xf numFmtId="167" fontId="0" fillId="0" borderId="0" xfId="0" applyNumberFormat="1"/>
    <xf numFmtId="0" fontId="3" fillId="3" borderId="0" xfId="0" applyFont="1" applyFill="1"/>
    <xf numFmtId="0" fontId="2" fillId="0" borderId="0" xfId="0" applyFont="1" applyFill="1"/>
    <xf numFmtId="168" fontId="2" fillId="0" borderId="0" xfId="1" applyNumberFormat="1" applyFont="1"/>
    <xf numFmtId="168" fontId="2" fillId="2" borderId="0" xfId="1" applyNumberFormat="1" applyFont="1" applyFill="1"/>
    <xf numFmtId="0" fontId="3" fillId="3" borderId="0" xfId="0" applyFont="1" applyFill="1" applyAlignment="1">
      <alignment horizontal="right" wrapText="1"/>
    </xf>
    <xf numFmtId="166" fontId="2" fillId="0" borderId="0" xfId="0" applyNumberFormat="1" applyFont="1" applyFill="1"/>
    <xf numFmtId="164" fontId="3" fillId="3" borderId="0" xfId="0" applyNumberFormat="1" applyFont="1" applyFill="1"/>
    <xf numFmtId="0" fontId="2" fillId="0" borderId="0" xfId="0" applyFont="1" applyFill="1" applyBorder="1"/>
    <xf numFmtId="166" fontId="2" fillId="0" borderId="0" xfId="0" applyNumberFormat="1" applyFont="1" applyFill="1" applyBorder="1"/>
    <xf numFmtId="0" fontId="0" fillId="0" borderId="0" xfId="0" applyBorder="1"/>
    <xf numFmtId="0" fontId="2" fillId="0" borderId="0" xfId="0" applyFont="1" applyBorder="1"/>
    <xf numFmtId="166" fontId="3" fillId="3" borderId="0" xfId="0" applyNumberFormat="1" applyFont="1" applyFill="1"/>
    <xf numFmtId="164" fontId="2" fillId="0" borderId="0" xfId="0" applyNumberFormat="1" applyFont="1"/>
    <xf numFmtId="164" fontId="2" fillId="2" borderId="0" xfId="0" applyNumberFormat="1" applyFont="1" applyFill="1"/>
    <xf numFmtId="0" fontId="3" fillId="3" borderId="0" xfId="0" applyFont="1" applyFill="1" applyAlignment="1">
      <alignment horizontal="right"/>
    </xf>
    <xf numFmtId="8" fontId="0" fillId="0" borderId="0" xfId="0" applyNumberFormat="1"/>
    <xf numFmtId="0" fontId="2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right"/>
    </xf>
    <xf numFmtId="165" fontId="2" fillId="2" borderId="0" xfId="0" applyNumberFormat="1" applyFont="1" applyFill="1"/>
    <xf numFmtId="168" fontId="2" fillId="0" borderId="0" xfId="0" applyNumberFormat="1" applyFont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0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1" fontId="2" fillId="0" borderId="0" xfId="0" applyNumberFormat="1" applyFont="1" applyFill="1"/>
    <xf numFmtId="165" fontId="2" fillId="0" borderId="0" xfId="0" applyNumberFormat="1" applyFont="1" applyFill="1"/>
    <xf numFmtId="0" fontId="0" fillId="0" borderId="0" xfId="0" applyFill="1"/>
    <xf numFmtId="169" fontId="2" fillId="2" borderId="0" xfId="1" applyNumberFormat="1" applyFont="1" applyFill="1"/>
    <xf numFmtId="14" fontId="3" fillId="3" borderId="0" xfId="0" applyNumberFormat="1" applyFont="1" applyFill="1" applyAlignment="1">
      <alignment horizontal="right"/>
    </xf>
    <xf numFmtId="167" fontId="2" fillId="0" borderId="0" xfId="0" applyNumberFormat="1" applyFont="1" applyFill="1"/>
    <xf numFmtId="169" fontId="2" fillId="0" borderId="0" xfId="1" applyNumberFormat="1" applyFont="1" applyFill="1"/>
    <xf numFmtId="165" fontId="2" fillId="0" borderId="0" xfId="0" applyNumberFormat="1" applyFont="1"/>
    <xf numFmtId="167" fontId="2" fillId="0" borderId="0" xfId="0" applyNumberFormat="1" applyFont="1" applyFill="1" applyBorder="1"/>
    <xf numFmtId="168" fontId="0" fillId="0" borderId="0" xfId="0" applyNumberFormat="1"/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/>
    <xf numFmtId="0" fontId="0" fillId="2" borderId="0" xfId="0" applyFill="1"/>
    <xf numFmtId="0" fontId="7" fillId="2" borderId="5" xfId="0" applyFont="1" applyFill="1" applyBorder="1" applyAlignment="1"/>
    <xf numFmtId="5" fontId="2" fillId="0" borderId="0" xfId="0" applyNumberFormat="1" applyFont="1" applyFill="1"/>
    <xf numFmtId="5" fontId="2" fillId="2" borderId="0" xfId="0" applyNumberFormat="1" applyFont="1" applyFill="1"/>
    <xf numFmtId="170" fontId="0" fillId="0" borderId="0" xfId="1" applyNumberFormat="1" applyFont="1"/>
    <xf numFmtId="0" fontId="2" fillId="0" borderId="0" xfId="0" applyFont="1" applyAlignment="1">
      <alignment horizontal="right"/>
    </xf>
    <xf numFmtId="0" fontId="3" fillId="3" borderId="0" xfId="0" applyFont="1" applyFill="1" applyAlignment="1">
      <alignment horizontal="center" vertical="center"/>
    </xf>
    <xf numFmtId="2" fontId="0" fillId="0" borderId="0" xfId="0" applyNumberFormat="1"/>
    <xf numFmtId="0" fontId="2" fillId="0" borderId="0" xfId="0" applyFont="1" applyFill="1" applyAlignment="1">
      <alignment horizontal="center"/>
    </xf>
    <xf numFmtId="166" fontId="0" fillId="0" borderId="0" xfId="1" applyNumberFormat="1" applyFont="1"/>
    <xf numFmtId="0" fontId="0" fillId="0" borderId="0" xfId="0" applyAlignment="1">
      <alignment horizontal="right" wrapText="1" indent="1"/>
    </xf>
    <xf numFmtId="0" fontId="3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2" fillId="0" borderId="0" xfId="0" quotePrefix="1" applyFont="1" applyAlignment="1">
      <alignment horizontal="left" wrapText="1"/>
    </xf>
    <xf numFmtId="0" fontId="2" fillId="0" borderId="0" xfId="0" quotePrefix="1" applyFont="1" applyAlignment="1">
      <alignment horizontal="left" vertical="top" wrapText="1"/>
    </xf>
    <xf numFmtId="0" fontId="3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2" borderId="3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3" fillId="3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DDDDD"/>
      <color rgb="FF153E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11</xdr:row>
      <xdr:rowOff>121920</xdr:rowOff>
    </xdr:from>
    <xdr:to>
      <xdr:col>7</xdr:col>
      <xdr:colOff>99060</xdr:colOff>
      <xdr:row>14</xdr:row>
      <xdr:rowOff>137160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" y="2133600"/>
          <a:ext cx="333756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411480</xdr:colOff>
      <xdr:row>1</xdr:row>
      <xdr:rowOff>76200</xdr:rowOff>
    </xdr:from>
    <xdr:to>
      <xdr:col>11</xdr:col>
      <xdr:colOff>259080</xdr:colOff>
      <xdr:row>9</xdr:row>
      <xdr:rowOff>7620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7640" y="487680"/>
          <a:ext cx="5943600" cy="1546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297180</xdr:colOff>
      <xdr:row>5</xdr:row>
      <xdr:rowOff>205740</xdr:rowOff>
    </xdr:from>
    <xdr:to>
      <xdr:col>0</xdr:col>
      <xdr:colOff>2819400</xdr:colOff>
      <xdr:row>7</xdr:row>
      <xdr:rowOff>175260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1409700"/>
          <a:ext cx="2522220" cy="396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showGridLines="0" topLeftCell="B1" workbookViewId="0">
      <pane ySplit="1" topLeftCell="A2" activePane="bottomLeft" state="frozen"/>
      <selection pane="bottomLeft" activeCell="T7" sqref="T7"/>
    </sheetView>
  </sheetViews>
  <sheetFormatPr defaultRowHeight="15" x14ac:dyDescent="0.25"/>
  <cols>
    <col min="1" max="1" width="40.5703125" bestFit="1" customWidth="1"/>
    <col min="2" max="6" width="10.28515625" customWidth="1"/>
    <col min="7" max="8" width="1.7109375" customWidth="1"/>
    <col min="9" max="9" width="40.5703125" customWidth="1"/>
    <col min="10" max="14" width="10.28515625" customWidth="1"/>
    <col min="20" max="20" width="28.85546875" customWidth="1"/>
    <col min="22" max="22" width="14.7109375" customWidth="1"/>
  </cols>
  <sheetData>
    <row r="1" spans="1:20" ht="36" customHeight="1" x14ac:dyDescent="0.25">
      <c r="A1" s="74" t="s">
        <v>61</v>
      </c>
      <c r="B1" s="74"/>
      <c r="C1" s="74"/>
      <c r="D1" s="74"/>
      <c r="E1" s="74"/>
      <c r="F1" s="74"/>
      <c r="G1" s="63"/>
      <c r="H1" s="60"/>
      <c r="I1" s="74" t="s">
        <v>62</v>
      </c>
      <c r="J1" s="74"/>
      <c r="K1" s="74"/>
      <c r="L1" s="74"/>
      <c r="M1" s="74"/>
      <c r="N1" s="74"/>
      <c r="T1" s="72" t="s">
        <v>86</v>
      </c>
    </row>
    <row r="2" spans="1:20" x14ac:dyDescent="0.25">
      <c r="G2" s="59"/>
      <c r="H2" s="60"/>
    </row>
    <row r="3" spans="1:20" ht="15.75" x14ac:dyDescent="0.25">
      <c r="A3" s="9" t="s">
        <v>24</v>
      </c>
      <c r="B3" s="20">
        <f>'Parameter Assumptions'!B13</f>
        <v>1000000</v>
      </c>
      <c r="G3" s="59"/>
      <c r="H3" s="60"/>
      <c r="I3" s="9" t="s">
        <v>24</v>
      </c>
      <c r="J3" s="20">
        <f>'Parameter Assumptions'!B13</f>
        <v>1000000</v>
      </c>
    </row>
    <row r="4" spans="1:20" ht="18.75" x14ac:dyDescent="0.25">
      <c r="A4" s="9" t="s">
        <v>27</v>
      </c>
      <c r="B4" s="15">
        <f>IF('Parameter Assumptions'!B14=1,0.363,(('Parameter Assumptions'!B4*(1+'Parameter Assumptions'!B4)^'Parameter Assumptions'!B12)/((1-'Parameter Assumptions'!B8)*((1+'Parameter Assumptions'!B4)^'Parameter Assumptions'!B12-1)))*('Parameter Assumptions'!B2/SQRT(1+'Parameter Assumptions'!B4)-'Parameter Assumptions'!B8*'Depreciation Factors'!C22-'Parameter Assumptions'!B8*(1-'Parameter Assumptions'!B2)*(SQRT(1+'Parameter Assumptions'!B5)-1)/(1+'Parameter Assumptions'!B4)-('Parameter Assumptions'!B8*(1-'Parameter Assumptions'!B2)*'Parameter Assumptions'!B5*SQRT(1+'Parameter Assumptions'!B5)/((1+'Parameter Assumptions'!B5)^'Parameter Assumptions'!B12-1))*(((1+'Parameter Assumptions'!B5)^('Parameter Assumptions'!B12-1))*((1+'Parameter Assumptions'!B4)^('Parameter Assumptions'!B12-1)-1)/('Parameter Assumptions'!B4*(1+'Parameter Assumptions'!B4)^'Parameter Assumptions'!B12)-((1+'Parameter Assumptions'!B4)^('Parameter Assumptions'!B12-1)-(1+'Parameter Assumptions'!B5)^('Parameter Assumptions'!B12-1))/(('Parameter Assumptions'!B4-'Parameter Assumptions'!B5)*(1+'Parameter Assumptions'!B4)^'Parameter Assumptions'!B12))+(1-'Parameter Assumptions'!B2)*(('Parameter Assumptions'!B5*(1+'Parameter Assumptions'!B5)^('Parameter Assumptions'!B12-0.5))/((1+'Parameter Assumptions'!B5)^'Parameter Assumptions'!B12-1))*((1+'Parameter Assumptions'!B4)^'Parameter Assumptions'!B12-1)/('Parameter Assumptions'!B4*(1+'Parameter Assumptions'!B4)^'Parameter Assumptions'!B12)))</f>
        <v>0.36299999999999999</v>
      </c>
      <c r="G4" s="61"/>
      <c r="H4" s="62"/>
      <c r="I4" s="9" t="s">
        <v>20</v>
      </c>
      <c r="J4" s="15">
        <f>IF('Parameter Assumptions'!B14=1,0.363,('Parameter Assumptions'!B10*(1+'Parameter Assumptions'!B10)^'Parameter Assumptions'!B12)/((1-'Parameter Assumptions'!B8)*SQRT(1+'Parameter Assumptions'!B10)*((1+'Parameter Assumptions'!B10)^'Parameter Assumptions'!B12-1))*(1-SQRT(1+'Parameter Assumptions'!B10)*'Parameter Assumptions'!B8*'Depreciation Factors'!D22))</f>
        <v>0.36299999999999999</v>
      </c>
    </row>
    <row r="5" spans="1:20" ht="15.75" x14ac:dyDescent="0.25">
      <c r="A5" s="9" t="s">
        <v>25</v>
      </c>
      <c r="B5" s="20">
        <f>B3*B4</f>
        <v>363000</v>
      </c>
      <c r="G5" s="61"/>
      <c r="H5" s="62"/>
      <c r="I5" s="9" t="s">
        <v>25</v>
      </c>
      <c r="J5" s="20">
        <f>J3*J4</f>
        <v>363000</v>
      </c>
    </row>
    <row r="6" spans="1:20" x14ac:dyDescent="0.25">
      <c r="B6" s="8"/>
      <c r="C6" s="8"/>
      <c r="D6" s="8"/>
      <c r="E6" s="8"/>
      <c r="F6" s="8"/>
      <c r="G6" s="61"/>
      <c r="H6" s="62"/>
      <c r="J6" s="8"/>
      <c r="K6" s="8"/>
      <c r="L6" s="8"/>
      <c r="M6" s="8"/>
      <c r="N6" s="8"/>
    </row>
    <row r="7" spans="1:20" ht="23.45" customHeight="1" x14ac:dyDescent="0.25">
      <c r="A7" s="73" t="s">
        <v>29</v>
      </c>
      <c r="B7" s="73"/>
      <c r="C7" s="73"/>
      <c r="D7" s="73"/>
      <c r="E7" s="73"/>
      <c r="F7" s="73"/>
      <c r="G7" s="61"/>
      <c r="H7" s="62"/>
      <c r="I7" s="73" t="s">
        <v>46</v>
      </c>
      <c r="J7" s="73"/>
      <c r="K7" s="73"/>
      <c r="L7" s="73"/>
      <c r="M7" s="73"/>
      <c r="N7" s="73"/>
    </row>
    <row r="8" spans="1:20" ht="15.75" x14ac:dyDescent="0.25">
      <c r="A8" s="9" t="s">
        <v>11</v>
      </c>
      <c r="B8" s="9">
        <v>1</v>
      </c>
      <c r="C8" s="9">
        <v>2</v>
      </c>
      <c r="D8" s="9">
        <v>3</v>
      </c>
      <c r="E8" s="9">
        <v>4</v>
      </c>
      <c r="F8" s="9">
        <v>5</v>
      </c>
      <c r="G8" s="61"/>
      <c r="H8" s="62"/>
      <c r="I8" s="9" t="s">
        <v>11</v>
      </c>
      <c r="J8" s="9">
        <v>1</v>
      </c>
      <c r="K8" s="9">
        <v>2</v>
      </c>
      <c r="L8" s="9">
        <v>3</v>
      </c>
      <c r="M8" s="9">
        <v>4</v>
      </c>
      <c r="N8" s="9">
        <v>5</v>
      </c>
    </row>
    <row r="9" spans="1:20" ht="15.75" x14ac:dyDescent="0.25">
      <c r="A9" s="7" t="s">
        <v>10</v>
      </c>
      <c r="B9" s="6">
        <f>$B$5</f>
        <v>363000</v>
      </c>
      <c r="C9" s="6">
        <f t="shared" ref="C9:F9" si="0">$B$5</f>
        <v>363000</v>
      </c>
      <c r="D9" s="6">
        <f t="shared" si="0"/>
        <v>363000</v>
      </c>
      <c r="E9" s="6">
        <f t="shared" si="0"/>
        <v>363000</v>
      </c>
      <c r="F9" s="6">
        <f t="shared" si="0"/>
        <v>363000</v>
      </c>
      <c r="G9" s="61"/>
      <c r="H9" s="62"/>
      <c r="I9" s="7" t="s">
        <v>10</v>
      </c>
      <c r="J9" s="6">
        <f>$J$4*'Parameter Assumptions'!$B$13</f>
        <v>363000</v>
      </c>
      <c r="K9" s="6">
        <f>$J$4*'Parameter Assumptions'!$B$13</f>
        <v>363000</v>
      </c>
      <c r="L9" s="6">
        <f>$J$4*'Parameter Assumptions'!$B$13</f>
        <v>363000</v>
      </c>
      <c r="M9" s="6">
        <f>$J$4*'Parameter Assumptions'!$B$13</f>
        <v>363000</v>
      </c>
      <c r="N9" s="6">
        <f>$J$4*'Parameter Assumptions'!$B$13</f>
        <v>363000</v>
      </c>
    </row>
    <row r="10" spans="1:20" ht="15.75" x14ac:dyDescent="0.25">
      <c r="A10" s="10" t="s">
        <v>9</v>
      </c>
      <c r="B10" s="14">
        <f>INDEX('Depreciation Factors'!$B$2:$B$21,MATCH(B8,'Depreciation Factors'!$A$2:$A$21,0))*'Parameter Assumptions'!$B$13</f>
        <v>1000000</v>
      </c>
      <c r="C10" s="14">
        <f>INDEX('Depreciation Factors'!$B$2:$B$21,MATCH(C8,'Depreciation Factors'!$A$2:$A$21,0))*'Parameter Assumptions'!$B$13</f>
        <v>0</v>
      </c>
      <c r="D10" s="14">
        <f>INDEX('Depreciation Factors'!$B$2:$B$21,MATCH(D8,'Depreciation Factors'!$A$2:$A$21,0))*'Parameter Assumptions'!$B$13</f>
        <v>0</v>
      </c>
      <c r="E10" s="14">
        <f>INDEX('Depreciation Factors'!$B$2:$B$21,MATCH(E8,'Depreciation Factors'!$A$2:$A$21,0))*'Parameter Assumptions'!$B$13</f>
        <v>0</v>
      </c>
      <c r="F10" s="14">
        <f>INDEX('Depreciation Factors'!$B$2:$B$21,MATCH(F8,'Depreciation Factors'!$A$2:$A$21,0))*'Parameter Assumptions'!$B$13</f>
        <v>0</v>
      </c>
      <c r="G10" s="61"/>
      <c r="H10" s="62"/>
      <c r="I10" s="5" t="s">
        <v>9</v>
      </c>
      <c r="J10" s="4">
        <f>INDEX('Depreciation Factors'!$B$2:$B$21,MATCH(J$8,'Depreciation Factors'!$A$2:$A$21,0))*'Parameter Assumptions'!$B$13</f>
        <v>1000000</v>
      </c>
      <c r="K10" s="4">
        <f>INDEX('Depreciation Factors'!$B$2:$B$21,MATCH(K$8,'Depreciation Factors'!$A$2:$A$21,0))*'Parameter Assumptions'!$B$13</f>
        <v>0</v>
      </c>
      <c r="L10" s="4">
        <f>INDEX('Depreciation Factors'!$B$2:$B$21,MATCH(L$8,'Depreciation Factors'!$A$2:$A$21,0))*'Parameter Assumptions'!$B$13</f>
        <v>0</v>
      </c>
      <c r="M10" s="4">
        <f>INDEX('Depreciation Factors'!$B$2:$B$21,MATCH(M$8,'Depreciation Factors'!$A$2:$A$21,0))*'Parameter Assumptions'!$B$13</f>
        <v>0</v>
      </c>
      <c r="N10" s="4">
        <f>INDEX('Depreciation Factors'!$B$2:$B$21,MATCH(N$8,'Depreciation Factors'!$A$2:$A$21,0))*'Parameter Assumptions'!$B$13</f>
        <v>0</v>
      </c>
    </row>
    <row r="11" spans="1:20" ht="15.75" x14ac:dyDescent="0.25">
      <c r="A11" s="7" t="s">
        <v>56</v>
      </c>
      <c r="B11" s="6">
        <f>'Parameter Assumptions'!B3*'Parameter Assumptions'!B13*(SQRT(1+'Parameter Assumptions'!B5)-1)</f>
        <v>17204.021639430022</v>
      </c>
      <c r="C11" s="6">
        <f>'Parameter Assumptions'!$B$5*B17</f>
        <v>27952.050336829408</v>
      </c>
      <c r="D11" s="6">
        <f>'Parameter Assumptions'!$B$5*C17</f>
        <v>21656.462682476769</v>
      </c>
      <c r="E11" s="6">
        <f>'Parameter Assumptions'!$B$5*D17</f>
        <v>14920.183892319446</v>
      </c>
      <c r="F11" s="6">
        <f>'Parameter Assumptions'!$B$5*E17</f>
        <v>7712.3655868511123</v>
      </c>
      <c r="G11" s="61"/>
      <c r="H11" s="62"/>
      <c r="I11" s="7" t="s">
        <v>26</v>
      </c>
      <c r="J11" s="65">
        <f>'Parameter Assumptions'!$B$8*(J9-J10)</f>
        <v>-179060.7</v>
      </c>
      <c r="K11" s="6">
        <f>'Parameter Assumptions'!$B$8*(K9-K10)</f>
        <v>102039.3</v>
      </c>
      <c r="L11" s="6">
        <f>'Parameter Assumptions'!$B$8*(L9-L10)</f>
        <v>102039.3</v>
      </c>
      <c r="M11" s="6">
        <f>'Parameter Assumptions'!$B$8*(M9-M10)</f>
        <v>102039.3</v>
      </c>
      <c r="N11" s="6">
        <f>'Parameter Assumptions'!$B$8*(N9-N10)</f>
        <v>102039.3</v>
      </c>
    </row>
    <row r="12" spans="1:20" ht="18.75" x14ac:dyDescent="0.25">
      <c r="A12" s="10" t="s">
        <v>58</v>
      </c>
      <c r="B12" s="64">
        <f>'Parameter Assumptions'!$B$8*(B9-B10-B11)</f>
        <v>-183896.75048284378</v>
      </c>
      <c r="C12" s="14">
        <f>'Parameter Assumptions'!$B$8*(C9-C10-C11)</f>
        <v>94181.978650317265</v>
      </c>
      <c r="D12" s="14">
        <f>'Parameter Assumptions'!$B$8*(D9-D10-D11)</f>
        <v>95951.668339955781</v>
      </c>
      <c r="E12" s="14">
        <f>'Parameter Assumptions'!$B$8*(E9-E10-E11)</f>
        <v>97845.23630786901</v>
      </c>
      <c r="F12" s="14">
        <f>'Parameter Assumptions'!$B$8*(F9-F10-F11)</f>
        <v>99871.354033536147</v>
      </c>
      <c r="G12" s="61"/>
      <c r="H12" s="62"/>
      <c r="I12" s="10" t="s">
        <v>63</v>
      </c>
      <c r="J12" s="14">
        <f>+J13+J14-(SQRT(1+'Parameter Assumptions'!$B$10)-1)*'Parameter Assumptions'!$B$13</f>
        <v>4643.4314561566498</v>
      </c>
      <c r="K12" s="14">
        <f>'Parameter Assumptions'!$B$8*'Parameter Assumptions'!$B$5*J18</f>
        <v>4915.8080243499317</v>
      </c>
      <c r="L12" s="14">
        <f>'Parameter Assumptions'!$B$8*'Parameter Assumptions'!$B$5*K18</f>
        <v>2766.9837624656079</v>
      </c>
      <c r="M12" s="14">
        <f>'Parameter Assumptions'!$B$8*'Parameter Assumptions'!$B$5*L18</f>
        <v>435.1624032028227</v>
      </c>
      <c r="N12" s="14">
        <f>'Parameter Assumptions'!$B$8*'Parameter Assumptions'!$B$5*M18</f>
        <v>0</v>
      </c>
    </row>
    <row r="13" spans="1:20" ht="18.75" x14ac:dyDescent="0.25">
      <c r="A13" s="7" t="s">
        <v>54</v>
      </c>
      <c r="B13" s="6">
        <f>'Parameter Assumptions'!B2*'Parameter Assumptions'!B13*(SQRT(1+'Parameter Assumptions'!B4)-1)</f>
        <v>29150.262212918165</v>
      </c>
      <c r="C13" s="6">
        <f>'Parameter Assumptions'!$B$4*B18</f>
        <v>12017.103426918689</v>
      </c>
      <c r="D13" s="6">
        <f>'Parameter Assumptions'!$B$4*C18</f>
        <v>0</v>
      </c>
      <c r="E13" s="6">
        <f>'Parameter Assumptions'!$B$4*D18</f>
        <v>0</v>
      </c>
      <c r="F13" s="6">
        <f>'Parameter Assumptions'!$B$4*E18</f>
        <v>0</v>
      </c>
      <c r="G13" s="61"/>
      <c r="H13" s="62"/>
      <c r="I13" s="7" t="s">
        <v>64</v>
      </c>
      <c r="J13" s="6">
        <f>(SQRT(1+'Parameter Assumptions'!B5)-1)*'Parameter Assumptions'!B3*'Parameter Assumptions'!B13</f>
        <v>17204.021639430022</v>
      </c>
      <c r="K13" s="6">
        <f>'Parameter Assumptions'!$B$5*J18</f>
        <v>17487.755333866709</v>
      </c>
      <c r="L13" s="6">
        <f>'Parameter Assumptions'!$B$5*K18</f>
        <v>9843.4143097317956</v>
      </c>
      <c r="M13" s="6">
        <f>'Parameter Assumptions'!$B$5*L18</f>
        <v>1548.0697374700203</v>
      </c>
      <c r="N13" s="6">
        <f>'Parameter Assumptions'!$B$5*M18</f>
        <v>0</v>
      </c>
    </row>
    <row r="14" spans="1:20" ht="18.75" x14ac:dyDescent="0.25">
      <c r="A14" s="10" t="s">
        <v>50</v>
      </c>
      <c r="B14" s="14">
        <f>B9-B11-B12-B13</f>
        <v>500542.46663049562</v>
      </c>
      <c r="C14" s="14">
        <f>C9-C11-C12-C13</f>
        <v>228848.86758593467</v>
      </c>
      <c r="D14" s="14">
        <f>D9-D11-D12-D13</f>
        <v>245391.86897756741</v>
      </c>
      <c r="E14" s="14">
        <f>E9-E11-E12-E13</f>
        <v>250234.57979981153</v>
      </c>
      <c r="F14" s="14">
        <f>F9-F11-F12-F13</f>
        <v>255416.2803796127</v>
      </c>
      <c r="G14" s="61"/>
      <c r="H14" s="62"/>
      <c r="I14" s="10" t="s">
        <v>65</v>
      </c>
      <c r="J14" s="14">
        <f>(SQRT(1+'Parameter Assumptions'!$B$4)-1)*'Parameter Assumptions'!B2*'Parameter Assumptions'!B13</f>
        <v>29150.262212918165</v>
      </c>
      <c r="K14" s="54">
        <f>'Parameter Assumptions'!$B$4*J19</f>
        <v>29979.009143771495</v>
      </c>
      <c r="L14" s="54">
        <f>'Parameter Assumptions'!$B$4*K19</f>
        <v>16874.42453096879</v>
      </c>
      <c r="M14" s="54">
        <f>'Parameter Assumptions'!$B$4*L19</f>
        <v>2653.8338356628915</v>
      </c>
      <c r="N14" s="54">
        <f>'Parameter Assumptions'!$B$4*M19</f>
        <v>0</v>
      </c>
    </row>
    <row r="15" spans="1:20" ht="15.75" x14ac:dyDescent="0.25">
      <c r="A15" s="7" t="s">
        <v>83</v>
      </c>
      <c r="B15" s="6">
        <f>MIN('Parameter Assumptions'!$B$3*'Parameter Assumptions'!$B$13,-PMT('Parameter Assumptions'!$B$5,'Parameter Assumptions'!$B$12,'Parameter Assumptions'!$B$3*'Parameter Assumptions'!$B$13,,0)/SQRT(1+'Parameter Assumptions'!$B$5)-B11)</f>
        <v>100684.99518815134</v>
      </c>
      <c r="C15" s="6">
        <f>MIN('Parameter Assumptions'!$B$3*'Parameter Assumptions'!$B$13-SUM($B$15:B15),-PMT('Parameter Assumptions'!$B$5,'Parameter Assumptions'!$B$12,'Parameter Assumptions'!$B$3*'Parameter Assumptions'!$B$13,,0)/SQRT(1+'Parameter Assumptions'!$B$5)-C11)</f>
        <v>89936.966490751947</v>
      </c>
      <c r="D15" s="6">
        <f>MIN('Parameter Assumptions'!$B$3*'Parameter Assumptions'!$B$13-SUM($B$15:C15),-PMT('Parameter Assumptions'!$B$5,'Parameter Assumptions'!$B$12,'Parameter Assumptions'!$B$3*'Parameter Assumptions'!$B$13,,0)/SQRT(1+'Parameter Assumptions'!$B$5)-D11)</f>
        <v>96232.554145104601</v>
      </c>
      <c r="E15" s="6">
        <f>MIN('Parameter Assumptions'!$B$3*'Parameter Assumptions'!$B$13-SUM($B$15:D15),-PMT('Parameter Assumptions'!$B$5,'Parameter Assumptions'!$B$12,'Parameter Assumptions'!$B$3*'Parameter Assumptions'!$B$13,,0)/SQRT(1+'Parameter Assumptions'!$B$5)-E11)</f>
        <v>102968.83293526192</v>
      </c>
      <c r="F15" s="6">
        <f>MIN('Parameter Assumptions'!$B$3*'Parameter Assumptions'!$B$13-SUM($B$15:E15),-PMT('Parameter Assumptions'!$B$5,'Parameter Assumptions'!$B$12,'Parameter Assumptions'!$B$3*'Parameter Assumptions'!$B$13,,0)/SQRT(1+'Parameter Assumptions'!$B$5)-F11)</f>
        <v>110176.65124073019</v>
      </c>
      <c r="G15" s="61"/>
      <c r="H15" s="62"/>
      <c r="I15" s="7" t="s">
        <v>50</v>
      </c>
      <c r="J15" s="6">
        <f>J9-J11+J12-J13-J14</f>
        <v>500349.84760380839</v>
      </c>
      <c r="K15" s="6">
        <f t="shared" ref="K15:N15" si="1">K9-K11+K12-K13-K14</f>
        <v>218409.74354671172</v>
      </c>
      <c r="L15" s="6">
        <f t="shared" si="1"/>
        <v>237009.844921765</v>
      </c>
      <c r="M15" s="6">
        <f t="shared" si="1"/>
        <v>257193.95883006993</v>
      </c>
      <c r="N15" s="6">
        <f t="shared" si="1"/>
        <v>260960.7</v>
      </c>
    </row>
    <row r="16" spans="1:20" ht="15.75" x14ac:dyDescent="0.25">
      <c r="A16" s="10" t="s">
        <v>84</v>
      </c>
      <c r="B16" s="14">
        <f>MIN('Parameter Assumptions'!B2*'Parameter Assumptions'!B13,B14-B15)</f>
        <v>399857.47144234425</v>
      </c>
      <c r="C16" s="14">
        <f>MIN('Parameter Assumptions'!$B$2*'Parameter Assumptions'!$B$13-SUM($B$16:B16),C14-C15)</f>
        <v>100142.52855765575</v>
      </c>
      <c r="D16" s="14">
        <f>MIN('Parameter Assumptions'!$B$2*'Parameter Assumptions'!$B$13-SUM($B$16:C16),D14-D15)</f>
        <v>0</v>
      </c>
      <c r="E16" s="14">
        <f>MIN('Parameter Assumptions'!$B$2*'Parameter Assumptions'!$B$13-SUM($B$16:D16),E14-E15)</f>
        <v>0</v>
      </c>
      <c r="F16" s="14">
        <f>MIN('Parameter Assumptions'!$B$2*'Parameter Assumptions'!$B$13-SUM($B$16:E16),F14-F15)</f>
        <v>0</v>
      </c>
      <c r="G16" s="61"/>
      <c r="H16" s="62"/>
      <c r="I16" s="16" t="s">
        <v>83</v>
      </c>
      <c r="J16" s="17">
        <f>MIN('Parameter Assumptions'!B3*'Parameter Assumptions'!B13,'Parameter Assumptions'!B3*J15)</f>
        <v>250174.92380190419</v>
      </c>
      <c r="K16" s="17">
        <f>MIN('Parameter Assumptions'!$B$3*'Parameter Assumptions'!$B$13-SUM($J$16:J16),'Parameter Assumptions'!$B$3*K15)</f>
        <v>109204.87177335586</v>
      </c>
      <c r="L16" s="17">
        <f>MIN('Parameter Assumptions'!$B$3*'Parameter Assumptions'!$B$13-SUM($J$16:K16),'Parameter Assumptions'!$B$3*L15)</f>
        <v>118504.9224608825</v>
      </c>
      <c r="M16" s="17">
        <f>MIN('Parameter Assumptions'!$B$3*'Parameter Assumptions'!$B$13-SUM($J$16:L16),'Parameter Assumptions'!$B$3*M15)</f>
        <v>22115.281963857415</v>
      </c>
      <c r="N16" s="17">
        <f>MIN('Parameter Assumptions'!$B$3*'Parameter Assumptions'!$B$13-SUM($J$16:M16),'Parameter Assumptions'!$B$3*N15)</f>
        <v>0</v>
      </c>
    </row>
    <row r="17" spans="1:14" ht="15.75" x14ac:dyDescent="0.25">
      <c r="A17" s="7" t="s">
        <v>22</v>
      </c>
      <c r="B17" s="6">
        <f>'Parameter Assumptions'!B3*'Parameter Assumptions'!B13-B15</f>
        <v>399315.00481184863</v>
      </c>
      <c r="C17" s="6">
        <f t="shared" ref="C17:F18" si="2">B17-C15</f>
        <v>309378.03832109668</v>
      </c>
      <c r="D17" s="6">
        <f t="shared" si="2"/>
        <v>213145.48417599208</v>
      </c>
      <c r="E17" s="6">
        <f t="shared" si="2"/>
        <v>110176.65124073016</v>
      </c>
      <c r="F17" s="6">
        <f t="shared" si="2"/>
        <v>0</v>
      </c>
      <c r="G17" s="61"/>
      <c r="H17" s="62"/>
      <c r="I17" s="7" t="s">
        <v>84</v>
      </c>
      <c r="J17" s="6">
        <f>MIN('Parameter Assumptions'!B2*'Parameter Assumptions'!B13,'Parameter Assumptions'!B2*J15)</f>
        <v>250174.92380190419</v>
      </c>
      <c r="K17" s="6">
        <f>MIN('Parameter Assumptions'!$B$2*'Parameter Assumptions'!$B$13-SUM($J$17:J17),'Parameter Assumptions'!$B$2*K15)</f>
        <v>109204.87177335586</v>
      </c>
      <c r="L17" s="6">
        <f>MIN('Parameter Assumptions'!$B$2*'Parameter Assumptions'!$B$13-SUM($J$17:K17),'Parameter Assumptions'!$B$2*L15)</f>
        <v>118504.9224608825</v>
      </c>
      <c r="M17" s="6">
        <f>MIN('Parameter Assumptions'!$B$2*'Parameter Assumptions'!$B$13-SUM($J$17:L17),'Parameter Assumptions'!$B$2*M15)</f>
        <v>22115.281963857415</v>
      </c>
      <c r="N17" s="6">
        <f>MIN('Parameter Assumptions'!$B$2*'Parameter Assumptions'!$B$13-SUM($J$17:M17),'Parameter Assumptions'!$B$2*N15)</f>
        <v>0</v>
      </c>
    </row>
    <row r="18" spans="1:14" ht="15.75" x14ac:dyDescent="0.25">
      <c r="A18" s="10" t="s">
        <v>23</v>
      </c>
      <c r="B18" s="14">
        <f>'Parameter Assumptions'!B2*'Parameter Assumptions'!B13-B16</f>
        <v>100142.52855765575</v>
      </c>
      <c r="C18" s="14">
        <f t="shared" si="2"/>
        <v>0</v>
      </c>
      <c r="D18" s="14">
        <f t="shared" si="2"/>
        <v>0</v>
      </c>
      <c r="E18" s="14">
        <f t="shared" si="2"/>
        <v>0</v>
      </c>
      <c r="F18" s="14">
        <f t="shared" si="2"/>
        <v>0</v>
      </c>
      <c r="G18" s="61"/>
      <c r="H18" s="62"/>
      <c r="I18" s="16" t="s">
        <v>22</v>
      </c>
      <c r="J18" s="17">
        <f>'Parameter Assumptions'!B3*'Parameter Assumptions'!B13-J16</f>
        <v>249825.07619809581</v>
      </c>
      <c r="K18" s="17">
        <f>J18-K16</f>
        <v>140620.20442473993</v>
      </c>
      <c r="L18" s="17">
        <f t="shared" ref="L18:N18" si="3">K18-L16</f>
        <v>22115.281963857429</v>
      </c>
      <c r="M18" s="17">
        <f t="shared" si="3"/>
        <v>0</v>
      </c>
      <c r="N18" s="17">
        <f t="shared" si="3"/>
        <v>0</v>
      </c>
    </row>
    <row r="19" spans="1:14" ht="15.75" x14ac:dyDescent="0.25">
      <c r="A19" s="7" t="s">
        <v>59</v>
      </c>
      <c r="B19" s="6">
        <f>B14-B15-B16</f>
        <v>0</v>
      </c>
      <c r="C19" s="6">
        <f t="shared" ref="C19:F19" si="4">C14-C15-C16</f>
        <v>38769.372537526971</v>
      </c>
      <c r="D19" s="6">
        <f t="shared" si="4"/>
        <v>149159.31483246281</v>
      </c>
      <c r="E19" s="6">
        <f t="shared" si="4"/>
        <v>147265.74686454961</v>
      </c>
      <c r="F19" s="6">
        <f t="shared" si="4"/>
        <v>145239.6291388825</v>
      </c>
      <c r="G19" s="61"/>
      <c r="H19" s="62"/>
      <c r="I19" s="7" t="s">
        <v>23</v>
      </c>
      <c r="J19" s="6">
        <f>'Parameter Assumptions'!B2*'Parameter Assumptions'!B13-J17</f>
        <v>249825.07619809581</v>
      </c>
      <c r="K19" s="6">
        <f>J19-K17</f>
        <v>140620.20442473993</v>
      </c>
      <c r="L19" s="6">
        <f t="shared" ref="L19:N19" si="5">K19-L17</f>
        <v>22115.281963857429</v>
      </c>
      <c r="M19" s="6">
        <f t="shared" si="5"/>
        <v>0</v>
      </c>
      <c r="N19" s="6">
        <f t="shared" si="5"/>
        <v>0</v>
      </c>
    </row>
    <row r="20" spans="1:14" ht="15.75" x14ac:dyDescent="0.25">
      <c r="A20" s="10" t="s">
        <v>57</v>
      </c>
      <c r="B20" s="14">
        <f>B13+B16+B19</f>
        <v>429007.73365526239</v>
      </c>
      <c r="C20" s="14">
        <f t="shared" ref="C20:F20" si="6">C13+C16+C19</f>
        <v>150929.00452210143</v>
      </c>
      <c r="D20" s="14">
        <f t="shared" si="6"/>
        <v>149159.31483246281</v>
      </c>
      <c r="E20" s="14">
        <f t="shared" si="6"/>
        <v>147265.74686454961</v>
      </c>
      <c r="F20" s="14">
        <f t="shared" si="6"/>
        <v>145239.6291388825</v>
      </c>
      <c r="G20" s="61"/>
      <c r="H20" s="62"/>
      <c r="I20" s="16" t="s">
        <v>59</v>
      </c>
      <c r="J20" s="17">
        <f>J15-J16-J17</f>
        <v>0</v>
      </c>
      <c r="K20" s="17">
        <f t="shared" ref="K20:N20" si="7">K15-K16-K17</f>
        <v>0</v>
      </c>
      <c r="L20" s="17">
        <f t="shared" si="7"/>
        <v>0</v>
      </c>
      <c r="M20" s="17">
        <f t="shared" si="7"/>
        <v>212963.3949023551</v>
      </c>
      <c r="N20" s="17">
        <f t="shared" si="7"/>
        <v>260960.7</v>
      </c>
    </row>
    <row r="21" spans="1:14" ht="15.75" x14ac:dyDescent="0.25">
      <c r="A21" s="7" t="s">
        <v>52</v>
      </c>
      <c r="B21" s="52">
        <f>XIRR('IRR Calculations'!C3:H3,'IRR Calculations'!C2:H2,0.2)</f>
        <v>0.61712031960487368</v>
      </c>
      <c r="C21" s="3"/>
      <c r="D21" s="3"/>
      <c r="E21" s="3"/>
      <c r="F21" s="3"/>
      <c r="G21" s="61"/>
      <c r="H21" s="62"/>
      <c r="I21" s="7" t="s">
        <v>57</v>
      </c>
      <c r="J21" s="6">
        <f>J14+J17+J20</f>
        <v>279325.18601482233</v>
      </c>
      <c r="K21" s="6">
        <f t="shared" ref="K21:N21" si="8">K14+K17+K20</f>
        <v>139183.88091712736</v>
      </c>
      <c r="L21" s="6">
        <f t="shared" si="8"/>
        <v>135379.34699185129</v>
      </c>
      <c r="M21" s="6">
        <f t="shared" si="8"/>
        <v>237732.51070187541</v>
      </c>
      <c r="N21" s="6">
        <f t="shared" si="8"/>
        <v>260960.7</v>
      </c>
    </row>
    <row r="22" spans="1:14" ht="15.75" x14ac:dyDescent="0.25">
      <c r="B22" s="3"/>
      <c r="G22" s="61"/>
      <c r="H22" s="62"/>
      <c r="I22" s="10" t="s">
        <v>52</v>
      </c>
      <c r="J22" s="55">
        <f>XIRR('IRR Calculations'!C4:H4,'IRR Calculations'!C2:H2,0.2)</f>
        <v>0.41467577815055845</v>
      </c>
      <c r="K22" s="56"/>
      <c r="L22" s="5"/>
      <c r="M22" s="5"/>
      <c r="N22" s="5"/>
    </row>
    <row r="23" spans="1:14" x14ac:dyDescent="0.25">
      <c r="B23" s="71"/>
      <c r="C23" s="71"/>
      <c r="D23" s="71"/>
      <c r="E23" s="71"/>
      <c r="F23" s="71"/>
      <c r="G23" s="61"/>
      <c r="H23" s="62"/>
      <c r="J23" s="2"/>
      <c r="K23" s="2"/>
    </row>
    <row r="24" spans="1:14" x14ac:dyDescent="0.25">
      <c r="B24" s="69"/>
      <c r="C24" s="69"/>
      <c r="D24" s="69"/>
      <c r="E24" s="69"/>
      <c r="F24" s="69"/>
      <c r="G24" s="61"/>
      <c r="H24" s="62"/>
      <c r="K24" s="2"/>
    </row>
    <row r="25" spans="1:14" ht="15.75" x14ac:dyDescent="0.25">
      <c r="B25" s="3"/>
      <c r="G25" s="61"/>
      <c r="H25" s="62"/>
      <c r="I25" s="5"/>
      <c r="K25" s="2"/>
    </row>
    <row r="26" spans="1:14" ht="69" customHeight="1" x14ac:dyDescent="0.25">
      <c r="G26" s="61"/>
      <c r="H26" s="62"/>
      <c r="I26" s="75" t="s">
        <v>60</v>
      </c>
      <c r="J26" s="75"/>
      <c r="K26" s="75"/>
      <c r="L26" s="75"/>
      <c r="M26" s="75"/>
      <c r="N26" s="75"/>
    </row>
    <row r="27" spans="1:14" ht="6" customHeight="1" x14ac:dyDescent="0.25">
      <c r="G27" s="61"/>
      <c r="H27" s="62"/>
    </row>
    <row r="28" spans="1:14" ht="91.15" customHeight="1" x14ac:dyDescent="0.25">
      <c r="G28" s="61"/>
      <c r="H28" s="62"/>
      <c r="I28" s="76" t="s">
        <v>66</v>
      </c>
      <c r="J28" s="76"/>
      <c r="K28" s="76"/>
      <c r="L28" s="76"/>
      <c r="M28" s="76"/>
      <c r="N28" s="76"/>
    </row>
    <row r="32" spans="1:14" ht="15.75" x14ac:dyDescent="0.25">
      <c r="I32" s="67"/>
      <c r="J32" s="66"/>
      <c r="K32" s="2"/>
      <c r="L32" s="2"/>
    </row>
    <row r="33" spans="9:14" ht="15.75" x14ac:dyDescent="0.25">
      <c r="I33" s="67"/>
      <c r="J33" s="66"/>
      <c r="K33" s="2"/>
      <c r="M33" s="3"/>
    </row>
    <row r="34" spans="9:14" ht="15.75" x14ac:dyDescent="0.25">
      <c r="J34" s="6"/>
      <c r="K34" s="2"/>
    </row>
    <row r="35" spans="9:14" ht="15.75" x14ac:dyDescent="0.25">
      <c r="J35" s="57"/>
      <c r="K35" s="57"/>
      <c r="L35" s="57"/>
      <c r="M35" s="57"/>
      <c r="N35" s="57"/>
    </row>
    <row r="36" spans="9:14" ht="15.75" x14ac:dyDescent="0.25">
      <c r="J36" s="57"/>
      <c r="K36" s="57"/>
      <c r="L36" s="57"/>
      <c r="M36" s="57"/>
      <c r="N36" s="57"/>
    </row>
    <row r="38" spans="9:14" x14ac:dyDescent="0.25">
      <c r="I38" s="1"/>
      <c r="J38" s="1"/>
      <c r="K38" s="1"/>
      <c r="L38" s="1"/>
      <c r="M38" s="1"/>
      <c r="N38" s="1"/>
    </row>
  </sheetData>
  <mergeCells count="6">
    <mergeCell ref="A7:F7"/>
    <mergeCell ref="I1:N1"/>
    <mergeCell ref="A1:F1"/>
    <mergeCell ref="I26:N26"/>
    <mergeCell ref="I28:N28"/>
    <mergeCell ref="I7:N7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showGridLines="0" workbookViewId="0">
      <selection activeCell="K5" sqref="K5"/>
    </sheetView>
  </sheetViews>
  <sheetFormatPr defaultColWidth="8.85546875" defaultRowHeight="15.75" x14ac:dyDescent="0.25"/>
  <cols>
    <col min="1" max="1" width="31.5703125" style="5" bestFit="1" customWidth="1"/>
    <col min="2" max="2" width="19.7109375" style="5" customWidth="1"/>
    <col min="3" max="8" width="12.7109375" style="5" customWidth="1"/>
    <col min="9" max="10" width="8.85546875" style="5"/>
    <col min="11" max="11" width="30" style="5" customWidth="1"/>
    <col min="12" max="16384" width="8.85546875" style="5"/>
  </cols>
  <sheetData>
    <row r="1" spans="1:14" ht="41.45" customHeight="1" x14ac:dyDescent="0.25">
      <c r="A1" s="9"/>
      <c r="B1" s="9"/>
      <c r="C1" s="77" t="s">
        <v>70</v>
      </c>
      <c r="D1" s="73"/>
      <c r="E1" s="73"/>
      <c r="F1" s="73"/>
      <c r="G1" s="73"/>
      <c r="H1" s="73"/>
      <c r="K1" s="72" t="s">
        <v>85</v>
      </c>
    </row>
    <row r="2" spans="1:14" x14ac:dyDescent="0.25">
      <c r="A2" s="9" t="s">
        <v>55</v>
      </c>
      <c r="B2" s="9" t="s">
        <v>53</v>
      </c>
      <c r="C2" s="53">
        <v>43831</v>
      </c>
      <c r="D2" s="53">
        <v>44013</v>
      </c>
      <c r="E2" s="53">
        <v>44378</v>
      </c>
      <c r="F2" s="53">
        <v>44743</v>
      </c>
      <c r="G2" s="53">
        <v>45108</v>
      </c>
      <c r="H2" s="53">
        <v>45474</v>
      </c>
    </row>
    <row r="3" spans="1:14" x14ac:dyDescent="0.25">
      <c r="A3" s="7" t="s">
        <v>51</v>
      </c>
      <c r="B3" s="7" t="s">
        <v>67</v>
      </c>
      <c r="C3" s="6">
        <f>-'Parameter Assumptions'!B2*'Parameter Assumptions'!B13</f>
        <v>-500000</v>
      </c>
      <c r="D3" s="6">
        <f>'EX 1 Mid Year Convention'!B20</f>
        <v>429007.73365526239</v>
      </c>
      <c r="E3" s="6">
        <f>'EX 1 Mid Year Convention'!C20</f>
        <v>150929.00452210143</v>
      </c>
      <c r="F3" s="6">
        <f>'EX 1 Mid Year Convention'!D20</f>
        <v>149159.31483246281</v>
      </c>
      <c r="G3" s="6">
        <f>'EX 1 Mid Year Convention'!E20</f>
        <v>147265.74686454961</v>
      </c>
      <c r="H3" s="6">
        <f>'EX 1 Mid Year Convention'!F20</f>
        <v>145239.6291388825</v>
      </c>
    </row>
    <row r="4" spans="1:14" x14ac:dyDescent="0.25">
      <c r="A4" s="10" t="s">
        <v>51</v>
      </c>
      <c r="B4" s="10" t="s">
        <v>68</v>
      </c>
      <c r="C4" s="14">
        <f>-'Parameter Assumptions'!B2*'Parameter Assumptions'!B13</f>
        <v>-500000</v>
      </c>
      <c r="D4" s="14">
        <f>'EX 1 Mid Year Convention'!J21</f>
        <v>279325.18601482233</v>
      </c>
      <c r="E4" s="14">
        <f>'EX 1 Mid Year Convention'!K21</f>
        <v>139183.88091712736</v>
      </c>
      <c r="F4" s="14">
        <f>'EX 1 Mid Year Convention'!L21</f>
        <v>135379.34699185129</v>
      </c>
      <c r="G4" s="14">
        <f>'EX 1 Mid Year Convention'!M21</f>
        <v>237732.51070187541</v>
      </c>
      <c r="H4" s="14">
        <f>'EX 1 Mid Year Convention'!N21</f>
        <v>260960.7</v>
      </c>
    </row>
    <row r="6" spans="1:14" x14ac:dyDescent="0.25">
      <c r="A6" s="10"/>
      <c r="B6" s="10"/>
      <c r="C6" s="14"/>
      <c r="D6" s="14"/>
      <c r="E6" s="14"/>
      <c r="F6" s="14"/>
      <c r="G6" s="14"/>
      <c r="H6" s="14"/>
      <c r="L6"/>
      <c r="M6"/>
      <c r="N6"/>
    </row>
    <row r="7" spans="1:14" x14ac:dyDescent="0.25">
      <c r="A7" s="10"/>
      <c r="B7" s="10"/>
      <c r="C7" s="14"/>
      <c r="D7" s="14"/>
      <c r="E7" s="14"/>
      <c r="F7" s="14"/>
      <c r="G7" s="14"/>
      <c r="H7" s="14"/>
      <c r="L7"/>
      <c r="M7"/>
      <c r="N7"/>
    </row>
    <row r="8" spans="1:14" ht="48" customHeight="1" x14ac:dyDescent="0.25">
      <c r="A8" s="78" t="s">
        <v>69</v>
      </c>
      <c r="B8" s="78"/>
      <c r="C8" s="78"/>
      <c r="D8" s="78"/>
      <c r="E8" s="78"/>
      <c r="L8"/>
      <c r="M8"/>
      <c r="N8"/>
    </row>
  </sheetData>
  <mergeCells count="2">
    <mergeCell ref="C1:H1"/>
    <mergeCell ref="A8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workbookViewId="0">
      <selection activeCell="L13" sqref="L13"/>
    </sheetView>
  </sheetViews>
  <sheetFormatPr defaultRowHeight="15" x14ac:dyDescent="0.25"/>
  <cols>
    <col min="1" max="1" width="28.28515625" bestFit="1" customWidth="1"/>
    <col min="2" max="2" width="20.5703125" customWidth="1"/>
    <col min="4" max="4" width="35.85546875" customWidth="1"/>
    <col min="7" max="7" width="11.5703125" bestFit="1" customWidth="1"/>
  </cols>
  <sheetData>
    <row r="1" spans="1:15" ht="30" customHeight="1" x14ac:dyDescent="0.25">
      <c r="A1" s="68" t="s">
        <v>19</v>
      </c>
      <c r="B1" s="13" t="s">
        <v>18</v>
      </c>
      <c r="D1" s="72" t="s">
        <v>85</v>
      </c>
    </row>
    <row r="2" spans="1:15" ht="15.75" x14ac:dyDescent="0.25">
      <c r="A2" s="7" t="s">
        <v>17</v>
      </c>
      <c r="B2" s="12">
        <v>0.5</v>
      </c>
    </row>
    <row r="3" spans="1:15" ht="15.75" x14ac:dyDescent="0.25">
      <c r="A3" s="5" t="s">
        <v>16</v>
      </c>
      <c r="B3" s="11">
        <f>1-B2</f>
        <v>0.5</v>
      </c>
    </row>
    <row r="4" spans="1:15" ht="15.75" x14ac:dyDescent="0.25">
      <c r="A4" s="7" t="s">
        <v>15</v>
      </c>
      <c r="B4" s="12">
        <v>0.12</v>
      </c>
    </row>
    <row r="5" spans="1:15" ht="15.75" x14ac:dyDescent="0.25">
      <c r="A5" s="5" t="s">
        <v>14</v>
      </c>
      <c r="B5" s="11">
        <v>7.0000000000000007E-2</v>
      </c>
      <c r="J5" s="58"/>
    </row>
    <row r="6" spans="1:15" ht="15.75" x14ac:dyDescent="0.25">
      <c r="A6" s="7" t="s">
        <v>76</v>
      </c>
      <c r="B6" s="12">
        <v>0.21</v>
      </c>
      <c r="J6" s="58"/>
    </row>
    <row r="7" spans="1:15" ht="15.75" x14ac:dyDescent="0.25">
      <c r="A7" s="5" t="s">
        <v>77</v>
      </c>
      <c r="B7" s="11">
        <v>0.09</v>
      </c>
    </row>
    <row r="8" spans="1:15" ht="15.75" x14ac:dyDescent="0.25">
      <c r="A8" s="7" t="s">
        <v>78</v>
      </c>
      <c r="B8" s="12">
        <f>B7+(1-B7)*B6</f>
        <v>0.28110000000000002</v>
      </c>
    </row>
    <row r="9" spans="1:15" ht="15.75" x14ac:dyDescent="0.25">
      <c r="A9" s="5" t="s">
        <v>80</v>
      </c>
      <c r="B9" s="30">
        <f>B2*B4+B3*B5</f>
        <v>9.5000000000000001E-2</v>
      </c>
    </row>
    <row r="10" spans="1:15" ht="15.75" x14ac:dyDescent="0.25">
      <c r="A10" s="5" t="s">
        <v>79</v>
      </c>
      <c r="B10" s="11">
        <f>B2*B4+(1-B8)*B3*B5</f>
        <v>8.5161500000000001E-2</v>
      </c>
      <c r="C10" s="11"/>
    </row>
    <row r="11" spans="1:15" ht="15.75" x14ac:dyDescent="0.25">
      <c r="A11" s="7" t="s">
        <v>42</v>
      </c>
      <c r="B11" s="28" t="s">
        <v>2</v>
      </c>
      <c r="C11" s="29" t="s">
        <v>21</v>
      </c>
      <c r="D11" s="7"/>
      <c r="E11" s="7"/>
      <c r="F11" s="7"/>
      <c r="G11" s="7"/>
      <c r="H11" s="7"/>
    </row>
    <row r="12" spans="1:15" ht="15.75" x14ac:dyDescent="0.25">
      <c r="A12" s="5" t="s">
        <v>41</v>
      </c>
      <c r="B12" s="5">
        <v>5</v>
      </c>
    </row>
    <row r="13" spans="1:15" ht="15.75" x14ac:dyDescent="0.25">
      <c r="A13" s="7" t="s">
        <v>13</v>
      </c>
      <c r="B13" s="6">
        <v>1000000</v>
      </c>
    </row>
    <row r="14" spans="1:15" ht="15.75" x14ac:dyDescent="0.25">
      <c r="A14" s="10" t="s">
        <v>48</v>
      </c>
      <c r="B14" s="49">
        <v>1</v>
      </c>
      <c r="C14" s="50" t="s">
        <v>47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</row>
    <row r="15" spans="1:15" ht="15.75" x14ac:dyDescent="0.25">
      <c r="C15" s="50"/>
    </row>
    <row r="19" spans="1:7" x14ac:dyDescent="0.25">
      <c r="G19" s="24"/>
    </row>
    <row r="20" spans="1:7" ht="15.75" x14ac:dyDescent="0.25">
      <c r="D20" s="5"/>
      <c r="G20" s="24"/>
    </row>
    <row r="21" spans="1:7" x14ac:dyDescent="0.25">
      <c r="A21" s="79"/>
      <c r="B21" s="80"/>
    </row>
    <row r="22" spans="1:7" x14ac:dyDescent="0.25">
      <c r="A22" s="80"/>
      <c r="B22" s="80"/>
      <c r="D22" s="58"/>
    </row>
  </sheetData>
  <mergeCells count="1">
    <mergeCell ref="A21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GridLines="0" workbookViewId="0">
      <selection activeCell="S12" sqref="S12"/>
    </sheetView>
  </sheetViews>
  <sheetFormatPr defaultRowHeight="15.75" x14ac:dyDescent="0.25"/>
  <cols>
    <col min="1" max="1" width="52" style="5" customWidth="1"/>
    <col min="2" max="2" width="8.85546875" customWidth="1"/>
    <col min="13" max="13" width="3.28515625" customWidth="1"/>
    <col min="14" max="14" width="35.28515625" customWidth="1"/>
    <col min="15" max="15" width="16.7109375" customWidth="1"/>
    <col min="17" max="17" width="28.140625" customWidth="1"/>
  </cols>
  <sheetData>
    <row r="1" spans="1:17" ht="32.450000000000003" customHeight="1" x14ac:dyDescent="0.25">
      <c r="A1" s="87" t="s">
        <v>72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N1" s="9" t="s">
        <v>19</v>
      </c>
      <c r="O1" s="9" t="s">
        <v>45</v>
      </c>
      <c r="Q1" s="72" t="s">
        <v>85</v>
      </c>
    </row>
    <row r="2" spans="1:17" ht="15.6" customHeight="1" x14ac:dyDescent="0.25">
      <c r="A2" s="81" t="s">
        <v>49</v>
      </c>
      <c r="B2" s="31"/>
      <c r="C2" s="32"/>
      <c r="D2" s="32"/>
      <c r="E2" s="32"/>
      <c r="F2" s="32"/>
      <c r="G2" s="32"/>
      <c r="H2" s="32"/>
      <c r="I2" s="32"/>
      <c r="J2" s="32"/>
      <c r="K2" s="32"/>
      <c r="L2" s="33"/>
      <c r="N2" s="7" t="s">
        <v>39</v>
      </c>
      <c r="O2" s="26" t="s">
        <v>38</v>
      </c>
    </row>
    <row r="3" spans="1:17" ht="15.6" customHeight="1" x14ac:dyDescent="0.25">
      <c r="A3" s="82"/>
      <c r="B3" s="34"/>
      <c r="C3" s="35"/>
      <c r="D3" s="35"/>
      <c r="E3" s="35"/>
      <c r="F3" s="35"/>
      <c r="G3" s="35"/>
      <c r="H3" s="35"/>
      <c r="I3" s="35"/>
      <c r="J3" s="35"/>
      <c r="K3" s="35"/>
      <c r="L3" s="36"/>
      <c r="N3" s="5" t="s">
        <v>17</v>
      </c>
      <c r="O3" s="25" t="s">
        <v>34</v>
      </c>
    </row>
    <row r="4" spans="1:17" ht="15.6" customHeight="1" x14ac:dyDescent="0.35">
      <c r="A4" s="82"/>
      <c r="B4" s="34"/>
      <c r="C4" s="35"/>
      <c r="D4" s="35"/>
      <c r="E4" s="35"/>
      <c r="F4" s="35"/>
      <c r="G4" s="35"/>
      <c r="H4" s="35"/>
      <c r="I4" s="35"/>
      <c r="J4" s="35"/>
      <c r="K4" s="35"/>
      <c r="L4" s="36"/>
      <c r="N4" s="7" t="s">
        <v>32</v>
      </c>
      <c r="O4" s="27" t="s">
        <v>35</v>
      </c>
    </row>
    <row r="5" spans="1:17" ht="15.6" customHeight="1" x14ac:dyDescent="0.35">
      <c r="A5" s="82"/>
      <c r="B5" s="34"/>
      <c r="C5" s="35"/>
      <c r="D5" s="35"/>
      <c r="E5" s="35"/>
      <c r="F5" s="35"/>
      <c r="G5" s="35"/>
      <c r="H5" s="35"/>
      <c r="I5" s="35"/>
      <c r="J5" s="35"/>
      <c r="K5" s="35"/>
      <c r="L5" s="36"/>
      <c r="N5" s="5" t="s">
        <v>40</v>
      </c>
      <c r="O5" s="25" t="s">
        <v>36</v>
      </c>
    </row>
    <row r="6" spans="1:17" ht="18.75" x14ac:dyDescent="0.25">
      <c r="A6" s="82"/>
      <c r="B6" s="34"/>
      <c r="C6" s="35"/>
      <c r="D6" s="35"/>
      <c r="E6" s="35"/>
      <c r="F6" s="35"/>
      <c r="G6" s="35"/>
      <c r="H6" s="35"/>
      <c r="I6" s="35"/>
      <c r="J6" s="35"/>
      <c r="K6" s="35"/>
      <c r="L6" s="36"/>
      <c r="N6" s="7" t="s">
        <v>81</v>
      </c>
      <c r="O6" s="27" t="s">
        <v>73</v>
      </c>
    </row>
    <row r="7" spans="1:17" ht="15.6" customHeight="1" x14ac:dyDescent="0.25">
      <c r="A7" s="82"/>
      <c r="B7" s="34"/>
      <c r="C7" s="35"/>
      <c r="D7" s="35"/>
      <c r="E7" s="35"/>
      <c r="F7" s="35"/>
      <c r="G7" s="35"/>
      <c r="H7" s="35"/>
      <c r="I7" s="35"/>
      <c r="J7" s="35"/>
      <c r="K7" s="35"/>
      <c r="L7" s="36"/>
      <c r="N7" s="10" t="s">
        <v>74</v>
      </c>
      <c r="O7" s="70" t="s">
        <v>33</v>
      </c>
    </row>
    <row r="8" spans="1:17" ht="15.6" customHeight="1" x14ac:dyDescent="0.25">
      <c r="A8" s="82"/>
      <c r="B8" s="34"/>
      <c r="C8" s="35"/>
      <c r="D8" s="35"/>
      <c r="E8" s="35"/>
      <c r="F8" s="35"/>
      <c r="G8" s="35"/>
      <c r="H8" s="35"/>
      <c r="I8" s="35"/>
      <c r="J8" s="35"/>
      <c r="K8" s="35"/>
      <c r="L8" s="36"/>
      <c r="N8" s="7" t="s">
        <v>43</v>
      </c>
      <c r="O8" s="27" t="s">
        <v>12</v>
      </c>
    </row>
    <row r="9" spans="1:17" ht="15.6" customHeight="1" x14ac:dyDescent="0.35">
      <c r="A9" s="82"/>
      <c r="B9" s="34"/>
      <c r="C9" s="35"/>
      <c r="D9" s="35"/>
      <c r="E9" s="35"/>
      <c r="F9" s="35"/>
      <c r="G9" s="35"/>
      <c r="H9" s="35"/>
      <c r="I9" s="35"/>
      <c r="J9" s="35"/>
      <c r="K9" s="35"/>
      <c r="L9" s="36"/>
      <c r="N9" s="10" t="s">
        <v>44</v>
      </c>
      <c r="O9" s="70" t="s">
        <v>37</v>
      </c>
    </row>
    <row r="10" spans="1:17" ht="15.6" customHeight="1" x14ac:dyDescent="0.25">
      <c r="A10" s="82"/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6"/>
    </row>
    <row r="11" spans="1:17" ht="15.6" customHeight="1" x14ac:dyDescent="0.25">
      <c r="A11" s="83"/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9"/>
    </row>
    <row r="12" spans="1:17" ht="15.6" customHeight="1" x14ac:dyDescent="0.35">
      <c r="A12" s="84" t="s">
        <v>71</v>
      </c>
      <c r="B12" s="40"/>
      <c r="C12" s="41"/>
      <c r="D12" s="41"/>
      <c r="E12" s="41"/>
      <c r="F12" s="41"/>
      <c r="G12" s="41"/>
      <c r="H12" s="41"/>
      <c r="I12" s="41"/>
      <c r="J12" s="41"/>
      <c r="K12" s="41"/>
      <c r="L12" s="42"/>
      <c r="N12" s="5" t="s">
        <v>75</v>
      </c>
    </row>
    <row r="13" spans="1:17" ht="15.6" customHeight="1" x14ac:dyDescent="0.25">
      <c r="A13" s="85"/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5"/>
      <c r="N13" s="78" t="s">
        <v>82</v>
      </c>
      <c r="O13" s="88"/>
    </row>
    <row r="14" spans="1:17" ht="15.6" customHeight="1" x14ac:dyDescent="0.25">
      <c r="A14" s="85"/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5"/>
      <c r="N14" s="88"/>
      <c r="O14" s="88"/>
    </row>
    <row r="15" spans="1:17" ht="15.6" customHeight="1" x14ac:dyDescent="0.25">
      <c r="A15" s="85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5"/>
    </row>
    <row r="16" spans="1:17" ht="21" customHeight="1" x14ac:dyDescent="0.25">
      <c r="A16" s="86"/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8"/>
    </row>
    <row r="17" spans="1:12" x14ac:dyDescent="0.25">
      <c r="A17" s="19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20" spans="1:12" ht="15" x14ac:dyDescent="0.25">
      <c r="A20"/>
    </row>
  </sheetData>
  <mergeCells count="4">
    <mergeCell ref="A2:A11"/>
    <mergeCell ref="A12:A16"/>
    <mergeCell ref="A1:L1"/>
    <mergeCell ref="N13:O1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workbookViewId="0">
      <selection activeCell="Q4" sqref="Q4"/>
    </sheetView>
  </sheetViews>
  <sheetFormatPr defaultRowHeight="15" x14ac:dyDescent="0.25"/>
  <cols>
    <col min="3" max="3" width="15.28515625" bestFit="1" customWidth="1"/>
    <col min="4" max="4" width="13.7109375" customWidth="1"/>
    <col min="13" max="13" width="29.7109375" customWidth="1"/>
  </cols>
  <sheetData>
    <row r="1" spans="1:13" ht="31.5" x14ac:dyDescent="0.25">
      <c r="A1" s="9" t="s">
        <v>8</v>
      </c>
      <c r="B1" s="9" t="s">
        <v>7</v>
      </c>
      <c r="C1" s="13" t="s">
        <v>30</v>
      </c>
      <c r="D1" s="13" t="s">
        <v>31</v>
      </c>
      <c r="E1" s="23" t="s">
        <v>6</v>
      </c>
      <c r="F1" s="23" t="s">
        <v>5</v>
      </c>
      <c r="G1" s="23" t="s">
        <v>4</v>
      </c>
      <c r="H1" s="23" t="s">
        <v>3</v>
      </c>
      <c r="I1" s="23" t="s">
        <v>2</v>
      </c>
      <c r="J1" s="23" t="s">
        <v>1</v>
      </c>
      <c r="K1" s="23" t="s">
        <v>0</v>
      </c>
      <c r="M1" s="72" t="s">
        <v>85</v>
      </c>
    </row>
    <row r="2" spans="1:13" ht="15.75" x14ac:dyDescent="0.25">
      <c r="A2" s="7">
        <v>1</v>
      </c>
      <c r="B2" s="22">
        <f>IF(A2&gt;'Parameter Assumptions'!$B$12,0,IF('Parameter Assumptions'!$B$11="M3",E2,IF('Parameter Assumptions'!$B$11="M5",F2,IF('Parameter Assumptions'!$B$11="M15",G2,IF('Parameter Assumptions'!$B$11="STLN",H2,IF('Parameter Assumptions'!$B$11="B100",I2,IF('Parameter Assumptions'!$B$11="B80M15",J2,IF('Parameter Assumptions'!$B$11="B60M15",K2,99999))))))))</f>
        <v>1</v>
      </c>
      <c r="C2" s="22">
        <f>B2/(1+'Parameter Assumptions'!$B$4)^A2</f>
        <v>0.89285714285714279</v>
      </c>
      <c r="D2" s="22">
        <f>B2/(1+'Parameter Assumptions'!$B$10)^A2</f>
        <v>0.92152181956326329</v>
      </c>
      <c r="E2" s="22">
        <v>0.33329999999999999</v>
      </c>
      <c r="F2" s="22">
        <v>0.2</v>
      </c>
      <c r="G2" s="22">
        <v>0.05</v>
      </c>
      <c r="H2" s="22">
        <f>IF(A2&lt;='Parameter Assumptions'!$B$12,1/'Parameter Assumptions'!$B$12,0)</f>
        <v>0.2</v>
      </c>
      <c r="I2" s="22">
        <v>1</v>
      </c>
      <c r="J2" s="22">
        <f>0.8+0.2*G2</f>
        <v>0.81</v>
      </c>
      <c r="K2" s="22">
        <f>0.6+0.4*G2</f>
        <v>0.62</v>
      </c>
    </row>
    <row r="3" spans="1:13" ht="15.75" x14ac:dyDescent="0.25">
      <c r="A3" s="5">
        <f t="shared" ref="A3:A21" si="0">1+A2</f>
        <v>2</v>
      </c>
      <c r="B3" s="21">
        <f>IF(A3&gt;'Parameter Assumptions'!$B$12,0,IF('Parameter Assumptions'!$B$11="M3",E3,IF('Parameter Assumptions'!$B$11="M5",F3,IF('Parameter Assumptions'!$B$11="M15",G3,IF('Parameter Assumptions'!$B$11="STLN",H3,IF('Parameter Assumptions'!$B$11="B100",I3,IF('Parameter Assumptions'!$B$11="B80M15",J3,IF('Parameter Assumptions'!$B$11="B60M15",K3,99999))))))))</f>
        <v>0</v>
      </c>
      <c r="C3" s="21">
        <f>B3/(1+'Parameter Assumptions'!$B$4)^A3</f>
        <v>0</v>
      </c>
      <c r="D3" s="21">
        <f>B3/(1+'Parameter Assumptions'!$B$10)^A3</f>
        <v>0</v>
      </c>
      <c r="E3" s="21">
        <v>0.44450000000000001</v>
      </c>
      <c r="F3" s="21">
        <v>0.32</v>
      </c>
      <c r="G3" s="21">
        <v>9.5000000000000001E-2</v>
      </c>
      <c r="H3" s="21">
        <f>IF(A3&lt;='Parameter Assumptions'!$B$12,1/'Parameter Assumptions'!$B$12,0)</f>
        <v>0.2</v>
      </c>
      <c r="I3" s="21"/>
      <c r="J3" s="21">
        <f t="shared" ref="J3:J16" si="1">0.2*G3</f>
        <v>1.9000000000000003E-2</v>
      </c>
      <c r="K3" s="21">
        <f t="shared" ref="K3:K17" si="2">0.4*G3</f>
        <v>3.8000000000000006E-2</v>
      </c>
    </row>
    <row r="4" spans="1:13" ht="15.75" x14ac:dyDescent="0.25">
      <c r="A4" s="7">
        <f t="shared" si="0"/>
        <v>3</v>
      </c>
      <c r="B4" s="22">
        <f>IF(A4&gt;'Parameter Assumptions'!$B$12,0,IF('Parameter Assumptions'!$B$11="M3",E4,IF('Parameter Assumptions'!$B$11="M5",F4,IF('Parameter Assumptions'!$B$11="M15",G4,IF('Parameter Assumptions'!$B$11="STLN",H4,IF('Parameter Assumptions'!$B$11="B100",I4,IF('Parameter Assumptions'!$B$11="B80M15",J4,IF('Parameter Assumptions'!$B$11="B60M15",K4,99999))))))))</f>
        <v>0</v>
      </c>
      <c r="C4" s="22">
        <f>B4/(1+'Parameter Assumptions'!$B$4)^A4</f>
        <v>0</v>
      </c>
      <c r="D4" s="22">
        <f>B4/(1+'Parameter Assumptions'!$B$10)^A4</f>
        <v>0</v>
      </c>
      <c r="E4" s="22">
        <v>0.14810000000000001</v>
      </c>
      <c r="F4" s="22">
        <v>0.192</v>
      </c>
      <c r="G4" s="22">
        <v>8.5500000000000007E-2</v>
      </c>
      <c r="H4" s="22">
        <f>IF(A4&lt;='Parameter Assumptions'!$B$12,1/'Parameter Assumptions'!$B$12,0)</f>
        <v>0.2</v>
      </c>
      <c r="I4" s="22"/>
      <c r="J4" s="22">
        <f t="shared" si="1"/>
        <v>1.7100000000000001E-2</v>
      </c>
      <c r="K4" s="22">
        <f t="shared" si="2"/>
        <v>3.4200000000000001E-2</v>
      </c>
    </row>
    <row r="5" spans="1:13" ht="15.75" x14ac:dyDescent="0.25">
      <c r="A5" s="5">
        <f t="shared" si="0"/>
        <v>4</v>
      </c>
      <c r="B5" s="21">
        <f>IF(A5&gt;'Parameter Assumptions'!$B$12,0,IF('Parameter Assumptions'!$B$11="M3",E5,IF('Parameter Assumptions'!$B$11="M5",F5,IF('Parameter Assumptions'!$B$11="M15",G5,IF('Parameter Assumptions'!$B$11="STLN",H5,IF('Parameter Assumptions'!$B$11="B100",I5,IF('Parameter Assumptions'!$B$11="B80M15",J5,IF('Parameter Assumptions'!$B$11="B60M15",K5,99999))))))))</f>
        <v>0</v>
      </c>
      <c r="C5" s="21">
        <f>B5/(1+'Parameter Assumptions'!$B$4)^A5</f>
        <v>0</v>
      </c>
      <c r="D5" s="21">
        <f>B5/(1+'Parameter Assumptions'!$B$10)^A5</f>
        <v>0</v>
      </c>
      <c r="E5" s="21">
        <v>7.4099999999999999E-2</v>
      </c>
      <c r="F5" s="21">
        <v>0.1152</v>
      </c>
      <c r="G5" s="21">
        <v>7.6950000000000005E-2</v>
      </c>
      <c r="H5" s="21">
        <f>IF(A5&lt;='Parameter Assumptions'!$B$12,1/'Parameter Assumptions'!$B$12,0)</f>
        <v>0.2</v>
      </c>
      <c r="I5" s="21"/>
      <c r="J5" s="21">
        <f t="shared" si="1"/>
        <v>1.5390000000000001E-2</v>
      </c>
      <c r="K5" s="21">
        <f t="shared" si="2"/>
        <v>3.0780000000000002E-2</v>
      </c>
    </row>
    <row r="6" spans="1:13" ht="15.75" x14ac:dyDescent="0.25">
      <c r="A6" s="7">
        <f t="shared" si="0"/>
        <v>5</v>
      </c>
      <c r="B6" s="22">
        <f>IF(A6&gt;'Parameter Assumptions'!$B$12,0,IF('Parameter Assumptions'!$B$11="M3",E6,IF('Parameter Assumptions'!$B$11="M5",F6,IF('Parameter Assumptions'!$B$11="M15",G6,IF('Parameter Assumptions'!$B$11="STLN",H6,IF('Parameter Assumptions'!$B$11="B100",I6,IF('Parameter Assumptions'!$B$11="B80M15",J6,IF('Parameter Assumptions'!$B$11="B60M15",K6,99999))))))))</f>
        <v>0</v>
      </c>
      <c r="C6" s="22">
        <f>B6/(1+'Parameter Assumptions'!$B$4)^A6</f>
        <v>0</v>
      </c>
      <c r="D6" s="22">
        <f>B6/(1+'Parameter Assumptions'!$B$10)^A6</f>
        <v>0</v>
      </c>
      <c r="E6" s="22"/>
      <c r="F6" s="22">
        <v>0.1152</v>
      </c>
      <c r="G6" s="22">
        <v>6.9254999999999997E-2</v>
      </c>
      <c r="H6" s="22">
        <f>IF(A6&lt;='Parameter Assumptions'!$B$12,1/'Parameter Assumptions'!$B$12,0)</f>
        <v>0.2</v>
      </c>
      <c r="I6" s="22"/>
      <c r="J6" s="22">
        <f t="shared" si="1"/>
        <v>1.3851E-2</v>
      </c>
      <c r="K6" s="22">
        <f t="shared" si="2"/>
        <v>2.7702000000000001E-2</v>
      </c>
    </row>
    <row r="7" spans="1:13" ht="15.75" x14ac:dyDescent="0.25">
      <c r="A7" s="5">
        <f t="shared" si="0"/>
        <v>6</v>
      </c>
      <c r="B7" s="21">
        <f>IF(A7&gt;'Parameter Assumptions'!$B$12,0,IF('Parameter Assumptions'!$B$11="M3",E7,IF('Parameter Assumptions'!$B$11="M5",F7,IF('Parameter Assumptions'!$B$11="M15",G7,IF('Parameter Assumptions'!$B$11="STLN",H7,IF('Parameter Assumptions'!$B$11="B100",I7,IF('Parameter Assumptions'!$B$11="B80M15",J7,IF('Parameter Assumptions'!$B$11="B60M15",K7,99999))))))))</f>
        <v>0</v>
      </c>
      <c r="C7" s="21">
        <f>B7/(1+'Parameter Assumptions'!$B$4)^A7</f>
        <v>0</v>
      </c>
      <c r="D7" s="21">
        <f>B7/(1+'Parameter Assumptions'!$B$10)^A7</f>
        <v>0</v>
      </c>
      <c r="E7" s="21"/>
      <c r="F7" s="21">
        <v>5.7599999999999998E-2</v>
      </c>
      <c r="G7" s="21">
        <v>6.232950000000001E-2</v>
      </c>
      <c r="H7" s="21">
        <f>IF(A7&lt;='Parameter Assumptions'!$B$12,1/'Parameter Assumptions'!$B$12,0)</f>
        <v>0</v>
      </c>
      <c r="I7" s="21"/>
      <c r="J7" s="21">
        <f t="shared" si="1"/>
        <v>1.2465900000000002E-2</v>
      </c>
      <c r="K7" s="21">
        <f t="shared" si="2"/>
        <v>2.4931800000000004E-2</v>
      </c>
    </row>
    <row r="8" spans="1:13" ht="15.75" x14ac:dyDescent="0.25">
      <c r="A8" s="7">
        <f t="shared" si="0"/>
        <v>7</v>
      </c>
      <c r="B8" s="22">
        <f>IF(A8&gt;'Parameter Assumptions'!$B$12,0,IF('Parameter Assumptions'!$B$11="M3",E8,IF('Parameter Assumptions'!$B$11="M5",F8,IF('Parameter Assumptions'!$B$11="M15",G8,IF('Parameter Assumptions'!$B$11="STLN",H8,IF('Parameter Assumptions'!$B$11="B100",I8,IF('Parameter Assumptions'!$B$11="B80M15",J8,IF('Parameter Assumptions'!$B$11="B60M15",K8,99999))))))))</f>
        <v>0</v>
      </c>
      <c r="C8" s="22">
        <f>B8/(1+'Parameter Assumptions'!$B$4)^A8</f>
        <v>0</v>
      </c>
      <c r="D8" s="22">
        <f>B8/(1+'Parameter Assumptions'!$B$10)^A8</f>
        <v>0</v>
      </c>
      <c r="E8" s="22"/>
      <c r="F8" s="22"/>
      <c r="G8" s="22">
        <v>5.9048999999999997E-2</v>
      </c>
      <c r="H8" s="22">
        <f>IF(A8&lt;='Parameter Assumptions'!$B$12,1/'Parameter Assumptions'!$B$12,0)</f>
        <v>0</v>
      </c>
      <c r="I8" s="22"/>
      <c r="J8" s="22">
        <f t="shared" si="1"/>
        <v>1.1809800000000001E-2</v>
      </c>
      <c r="K8" s="22">
        <f t="shared" si="2"/>
        <v>2.3619600000000001E-2</v>
      </c>
    </row>
    <row r="9" spans="1:13" ht="15.75" x14ac:dyDescent="0.25">
      <c r="A9" s="5">
        <f t="shared" si="0"/>
        <v>8</v>
      </c>
      <c r="B9" s="21">
        <f>IF(A9&gt;'Parameter Assumptions'!$B$12,0,IF('Parameter Assumptions'!$B$11="M3",E9,IF('Parameter Assumptions'!$B$11="M5",F9,IF('Parameter Assumptions'!$B$11="M15",G9,IF('Parameter Assumptions'!$B$11="STLN",H9,IF('Parameter Assumptions'!$B$11="B100",I9,IF('Parameter Assumptions'!$B$11="B80M15",J9,IF('Parameter Assumptions'!$B$11="B60M15",K9,99999))))))))</f>
        <v>0</v>
      </c>
      <c r="C9" s="21">
        <f>B9/(1+'Parameter Assumptions'!$B$4)^A9</f>
        <v>0</v>
      </c>
      <c r="D9" s="21">
        <f>B9/(1+'Parameter Assumptions'!$B$10)^A9</f>
        <v>0</v>
      </c>
      <c r="E9" s="21"/>
      <c r="F9" s="21"/>
      <c r="G9" s="21">
        <v>5.9048999999999997E-2</v>
      </c>
      <c r="H9" s="21">
        <f>IF(A9&lt;='Parameter Assumptions'!$B$12,1/'Parameter Assumptions'!$B$12,0)</f>
        <v>0</v>
      </c>
      <c r="I9" s="21"/>
      <c r="J9" s="21">
        <f t="shared" si="1"/>
        <v>1.1809800000000001E-2</v>
      </c>
      <c r="K9" s="21">
        <f t="shared" si="2"/>
        <v>2.3619600000000001E-2</v>
      </c>
    </row>
    <row r="10" spans="1:13" ht="15.75" x14ac:dyDescent="0.25">
      <c r="A10" s="7">
        <f t="shared" si="0"/>
        <v>9</v>
      </c>
      <c r="B10" s="22">
        <f>IF(A10&gt;'Parameter Assumptions'!$B$12,0,IF('Parameter Assumptions'!$B$11="M3",E10,IF('Parameter Assumptions'!$B$11="M5",F10,IF('Parameter Assumptions'!$B$11="M15",G10,IF('Parameter Assumptions'!$B$11="STLN",H10,IF('Parameter Assumptions'!$B$11="B100",I10,IF('Parameter Assumptions'!$B$11="B80M15",J10,IF('Parameter Assumptions'!$B$11="B60M15",K10,99999))))))))</f>
        <v>0</v>
      </c>
      <c r="C10" s="22">
        <f>B10/(1+'Parameter Assumptions'!$B$4)^A10</f>
        <v>0</v>
      </c>
      <c r="D10" s="22">
        <f>B10/(1+'Parameter Assumptions'!$B$10)^A10</f>
        <v>0</v>
      </c>
      <c r="E10" s="22"/>
      <c r="F10" s="22"/>
      <c r="G10" s="22">
        <v>5.9048999999999997E-2</v>
      </c>
      <c r="H10" s="22">
        <f>IF(A10&lt;='Parameter Assumptions'!$B$12,1/'Parameter Assumptions'!$B$12,0)</f>
        <v>0</v>
      </c>
      <c r="I10" s="22"/>
      <c r="J10" s="22">
        <f t="shared" si="1"/>
        <v>1.1809800000000001E-2</v>
      </c>
      <c r="K10" s="22">
        <f t="shared" si="2"/>
        <v>2.3619600000000001E-2</v>
      </c>
    </row>
    <row r="11" spans="1:13" ht="15.75" x14ac:dyDescent="0.25">
      <c r="A11" s="5">
        <f t="shared" si="0"/>
        <v>10</v>
      </c>
      <c r="B11" s="21">
        <f>IF(A11&gt;'Parameter Assumptions'!$B$12,0,IF('Parameter Assumptions'!$B$11="M3",E11,IF('Parameter Assumptions'!$B$11="M5",F11,IF('Parameter Assumptions'!$B$11="M15",G11,IF('Parameter Assumptions'!$B$11="STLN",H11,IF('Parameter Assumptions'!$B$11="B100",I11,IF('Parameter Assumptions'!$B$11="B80M15",J11,IF('Parameter Assumptions'!$B$11="B60M15",K11,99999))))))))</f>
        <v>0</v>
      </c>
      <c r="C11" s="21">
        <f>B11/(1+'Parameter Assumptions'!$B$4)^A11</f>
        <v>0</v>
      </c>
      <c r="D11" s="21">
        <f>B11/(1+'Parameter Assumptions'!$B$10)^A11</f>
        <v>0</v>
      </c>
      <c r="E11" s="21"/>
      <c r="F11" s="21"/>
      <c r="G11" s="21">
        <v>5.9048999999999997E-2</v>
      </c>
      <c r="H11" s="21">
        <f>IF(A11&lt;='Parameter Assumptions'!$B$12,1/'Parameter Assumptions'!$B$12,0)</f>
        <v>0</v>
      </c>
      <c r="I11" s="21"/>
      <c r="J11" s="21">
        <f t="shared" si="1"/>
        <v>1.1809800000000001E-2</v>
      </c>
      <c r="K11" s="21">
        <f t="shared" si="2"/>
        <v>2.3619600000000001E-2</v>
      </c>
    </row>
    <row r="12" spans="1:13" ht="15.75" x14ac:dyDescent="0.25">
      <c r="A12" s="7">
        <f t="shared" si="0"/>
        <v>11</v>
      </c>
      <c r="B12" s="22">
        <f>IF(A12&gt;'Parameter Assumptions'!$B$12,0,IF('Parameter Assumptions'!$B$11="M3",E12,IF('Parameter Assumptions'!$B$11="M5",F12,IF('Parameter Assumptions'!$B$11="M15",G12,IF('Parameter Assumptions'!$B$11="STLN",H12,IF('Parameter Assumptions'!$B$11="B100",I12,IF('Parameter Assumptions'!$B$11="B80M15",J12,IF('Parameter Assumptions'!$B$11="B60M15",K12,99999))))))))</f>
        <v>0</v>
      </c>
      <c r="C12" s="22">
        <f>B12/(1+'Parameter Assumptions'!$B$4)^A12</f>
        <v>0</v>
      </c>
      <c r="D12" s="22">
        <f>B12/(1+'Parameter Assumptions'!$B$10)^A12</f>
        <v>0</v>
      </c>
      <c r="E12" s="22"/>
      <c r="F12" s="22"/>
      <c r="G12" s="22">
        <v>5.904899999999999E-2</v>
      </c>
      <c r="H12" s="22">
        <f>IF(A12&lt;='Parameter Assumptions'!$B$12,1/'Parameter Assumptions'!$B$12,0)</f>
        <v>0</v>
      </c>
      <c r="I12" s="22"/>
      <c r="J12" s="22">
        <f t="shared" si="1"/>
        <v>1.1809799999999999E-2</v>
      </c>
      <c r="K12" s="22">
        <f t="shared" si="2"/>
        <v>2.3619599999999998E-2</v>
      </c>
    </row>
    <row r="13" spans="1:13" ht="15.75" x14ac:dyDescent="0.25">
      <c r="A13" s="5">
        <f t="shared" si="0"/>
        <v>12</v>
      </c>
      <c r="B13" s="21">
        <f>IF(A13&gt;'Parameter Assumptions'!$B$12,0,IF('Parameter Assumptions'!$B$11="M3",E13,IF('Parameter Assumptions'!$B$11="M5",F13,IF('Parameter Assumptions'!$B$11="M15",G13,IF('Parameter Assumptions'!$B$11="STLN",H13,IF('Parameter Assumptions'!$B$11="B100",I13,IF('Parameter Assumptions'!$B$11="B80M15",J13,IF('Parameter Assumptions'!$B$11="B60M15",K13,99999))))))))</f>
        <v>0</v>
      </c>
      <c r="C13" s="21">
        <f>B13/(1+'Parameter Assumptions'!$B$4)^A13</f>
        <v>0</v>
      </c>
      <c r="D13" s="21">
        <f>B13/(1+'Parameter Assumptions'!$B$10)^A13</f>
        <v>0</v>
      </c>
      <c r="E13" s="21"/>
      <c r="F13" s="21"/>
      <c r="G13" s="21">
        <v>5.9048999999999977E-2</v>
      </c>
      <c r="H13" s="21">
        <f>IF(A13&lt;='Parameter Assumptions'!$B$12,1/'Parameter Assumptions'!$B$12,0)</f>
        <v>0</v>
      </c>
      <c r="I13" s="21"/>
      <c r="J13" s="21">
        <f t="shared" si="1"/>
        <v>1.1809799999999995E-2</v>
      </c>
      <c r="K13" s="21">
        <f t="shared" si="2"/>
        <v>2.3619599999999991E-2</v>
      </c>
    </row>
    <row r="14" spans="1:13" ht="15.75" x14ac:dyDescent="0.25">
      <c r="A14" s="7">
        <f t="shared" si="0"/>
        <v>13</v>
      </c>
      <c r="B14" s="22">
        <f>IF(A14&gt;'Parameter Assumptions'!$B$12,0,IF('Parameter Assumptions'!$B$11="M3",E14,IF('Parameter Assumptions'!$B$11="M5",F14,IF('Parameter Assumptions'!$B$11="M15",G14,IF('Parameter Assumptions'!$B$11="STLN",H14,IF('Parameter Assumptions'!$B$11="B100",I14,IF('Parameter Assumptions'!$B$11="B80M15",J14,IF('Parameter Assumptions'!$B$11="B60M15",K14,99999))))))))</f>
        <v>0</v>
      </c>
      <c r="C14" s="22">
        <f>B14/(1+'Parameter Assumptions'!$B$4)^A14</f>
        <v>0</v>
      </c>
      <c r="D14" s="22">
        <f>B14/(1+'Parameter Assumptions'!$B$10)^A14</f>
        <v>0</v>
      </c>
      <c r="E14" s="22"/>
      <c r="F14" s="22"/>
      <c r="G14" s="22">
        <v>5.9048999999999983E-2</v>
      </c>
      <c r="H14" s="22">
        <f>IF(A14&lt;='Parameter Assumptions'!$B$12,1/'Parameter Assumptions'!$B$12,0)</f>
        <v>0</v>
      </c>
      <c r="I14" s="22"/>
      <c r="J14" s="22">
        <f t="shared" si="1"/>
        <v>1.1809799999999997E-2</v>
      </c>
      <c r="K14" s="22">
        <f t="shared" si="2"/>
        <v>2.3619599999999994E-2</v>
      </c>
    </row>
    <row r="15" spans="1:13" ht="15.75" x14ac:dyDescent="0.25">
      <c r="A15" s="5">
        <f t="shared" si="0"/>
        <v>14</v>
      </c>
      <c r="B15" s="21">
        <f>IF(A15&gt;'Parameter Assumptions'!$B$12,0,IF('Parameter Assumptions'!$B$11="M3",E15,IF('Parameter Assumptions'!$B$11="M5",F15,IF('Parameter Assumptions'!$B$11="M15",G15,IF('Parameter Assumptions'!$B$11="STLN",H15,IF('Parameter Assumptions'!$B$11="B100",I15,IF('Parameter Assumptions'!$B$11="B80M15",J15,IF('Parameter Assumptions'!$B$11="B60M15",K15,99999))))))))</f>
        <v>0</v>
      </c>
      <c r="C15" s="21">
        <f>B15/(1+'Parameter Assumptions'!$B$4)^A15</f>
        <v>0</v>
      </c>
      <c r="D15" s="21">
        <f>B15/(1+'Parameter Assumptions'!$B$10)^A15</f>
        <v>0</v>
      </c>
      <c r="E15" s="21"/>
      <c r="F15" s="21"/>
      <c r="G15" s="21">
        <v>5.904899999999999E-2</v>
      </c>
      <c r="H15" s="21">
        <f>IF(A15&lt;='Parameter Assumptions'!$B$12,1/'Parameter Assumptions'!$B$12,0)</f>
        <v>0</v>
      </c>
      <c r="I15" s="21"/>
      <c r="J15" s="21">
        <f t="shared" si="1"/>
        <v>1.1809799999999999E-2</v>
      </c>
      <c r="K15" s="21">
        <f t="shared" si="2"/>
        <v>2.3619599999999998E-2</v>
      </c>
    </row>
    <row r="16" spans="1:13" ht="15.75" x14ac:dyDescent="0.25">
      <c r="A16" s="7">
        <f t="shared" si="0"/>
        <v>15</v>
      </c>
      <c r="B16" s="22">
        <f>IF(A16&gt;'Parameter Assumptions'!$B$12,0,IF('Parameter Assumptions'!$B$11="M3",E16,IF('Parameter Assumptions'!$B$11="M5",F16,IF('Parameter Assumptions'!$B$11="M15",G16,IF('Parameter Assumptions'!$B$11="STLN",H16,IF('Parameter Assumptions'!$B$11="B100",I16,IF('Parameter Assumptions'!$B$11="B80M15",J16,IF('Parameter Assumptions'!$B$11="B60M15",K16,99999))))))))</f>
        <v>0</v>
      </c>
      <c r="C16" s="22">
        <f>B16/(1+'Parameter Assumptions'!$B$4)^A16</f>
        <v>0</v>
      </c>
      <c r="D16" s="22">
        <f>B16/(1+'Parameter Assumptions'!$B$10)^A16</f>
        <v>0</v>
      </c>
      <c r="E16" s="22"/>
      <c r="F16" s="22"/>
      <c r="G16" s="22">
        <v>5.9048999999999977E-2</v>
      </c>
      <c r="H16" s="22">
        <f>IF(A16&lt;='Parameter Assumptions'!$B$12,1/'Parameter Assumptions'!$B$12,0)</f>
        <v>0</v>
      </c>
      <c r="I16" s="22"/>
      <c r="J16" s="22">
        <f t="shared" si="1"/>
        <v>1.1809799999999995E-2</v>
      </c>
      <c r="K16" s="22">
        <f t="shared" si="2"/>
        <v>2.3619599999999991E-2</v>
      </c>
    </row>
    <row r="17" spans="1:11" ht="15.75" x14ac:dyDescent="0.25">
      <c r="A17" s="5">
        <f t="shared" si="0"/>
        <v>16</v>
      </c>
      <c r="B17" s="21">
        <f>IF(A17&gt;'Parameter Assumptions'!$B$12,0,IF('Parameter Assumptions'!$B$11="M3",E17,IF('Parameter Assumptions'!$B$11="M5",F17,IF('Parameter Assumptions'!$B$11="M15",G17,IF('Parameter Assumptions'!$B$11="STLN",H17,IF('Parameter Assumptions'!$B$11="B100",I17,IF('Parameter Assumptions'!$B$11="B80M15",J17,IF('Parameter Assumptions'!$B$11="B60M15",K17,99999))))))))</f>
        <v>0</v>
      </c>
      <c r="C17" s="21">
        <f>B17/(1+'Parameter Assumptions'!$B$4)^A17</f>
        <v>0</v>
      </c>
      <c r="D17" s="21">
        <f>B17/(1+'Parameter Assumptions'!$B$10)^A17</f>
        <v>0</v>
      </c>
      <c r="E17" s="21"/>
      <c r="F17" s="21"/>
      <c r="G17" s="21">
        <v>2.9524499999999995E-2</v>
      </c>
      <c r="H17" s="21">
        <f>IF(A17&lt;='Parameter Assumptions'!$B$12,1/'Parameter Assumptions'!$B$12,0)</f>
        <v>0</v>
      </c>
      <c r="I17" s="21"/>
      <c r="J17" s="21">
        <f>0.2*G17</f>
        <v>5.9048999999999994E-3</v>
      </c>
      <c r="K17" s="21">
        <f t="shared" si="2"/>
        <v>1.1809799999999999E-2</v>
      </c>
    </row>
    <row r="18" spans="1:11" ht="15.75" x14ac:dyDescent="0.25">
      <c r="A18" s="7">
        <f t="shared" si="0"/>
        <v>17</v>
      </c>
      <c r="B18" s="22">
        <f>IF(A18&gt;'Parameter Assumptions'!$B$12,0,IF('Parameter Assumptions'!$B$11="M3",E18,IF('Parameter Assumptions'!$B$11="M5",F18,IF('Parameter Assumptions'!$B$11="M15",G18,IF('Parameter Assumptions'!$B$11="STLN",H18,IF('Parameter Assumptions'!$B$11="B100",I18,IF('Parameter Assumptions'!$B$11="B80M15",J18,IF('Parameter Assumptions'!$B$11="B60M15",K18,99999))))))))</f>
        <v>0</v>
      </c>
      <c r="C18" s="22">
        <f>B18/(1+'Parameter Assumptions'!$B$4)^A18</f>
        <v>0</v>
      </c>
      <c r="D18" s="22">
        <f>B18/(1+'Parameter Assumptions'!$B$10)^A18</f>
        <v>0</v>
      </c>
      <c r="E18" s="22"/>
      <c r="F18" s="22"/>
      <c r="G18" s="22"/>
      <c r="H18" s="22">
        <f>IF(A18&lt;='Parameter Assumptions'!$B$12,1/'Parameter Assumptions'!$B$12,0)</f>
        <v>0</v>
      </c>
      <c r="I18" s="22"/>
      <c r="J18" s="22"/>
      <c r="K18" s="22"/>
    </row>
    <row r="19" spans="1:11" ht="15.75" x14ac:dyDescent="0.25">
      <c r="A19" s="5">
        <f t="shared" si="0"/>
        <v>18</v>
      </c>
      <c r="B19" s="21">
        <f>IF(A19&gt;'Parameter Assumptions'!$B$12,0,IF('Parameter Assumptions'!$B$11="M3",E19,IF('Parameter Assumptions'!$B$11="M5",F19,IF('Parameter Assumptions'!$B$11="M15",G19,IF('Parameter Assumptions'!$B$11="STLN",H19,IF('Parameter Assumptions'!$B$11="B100",I19,IF('Parameter Assumptions'!$B$11="B80M15",J19,IF('Parameter Assumptions'!$B$11="B60M15",K19,99999))))))))</f>
        <v>0</v>
      </c>
      <c r="C19" s="21">
        <f>B19/(1+'Parameter Assumptions'!$B$4)^A19</f>
        <v>0</v>
      </c>
      <c r="D19" s="21">
        <f>B19/(1+'Parameter Assumptions'!$B$10)^A19</f>
        <v>0</v>
      </c>
      <c r="E19" s="21"/>
      <c r="F19" s="21"/>
      <c r="G19" s="21"/>
      <c r="H19" s="21">
        <f>IF(A19&lt;='Parameter Assumptions'!$B$12,1/'Parameter Assumptions'!$B$12,0)</f>
        <v>0</v>
      </c>
      <c r="I19" s="21"/>
      <c r="J19" s="21"/>
      <c r="K19" s="21"/>
    </row>
    <row r="20" spans="1:11" ht="15.75" x14ac:dyDescent="0.25">
      <c r="A20" s="7">
        <f t="shared" si="0"/>
        <v>19</v>
      </c>
      <c r="B20" s="22">
        <f>IF(A20&gt;'Parameter Assumptions'!$B$12,0,IF('Parameter Assumptions'!$B$11="M3",E20,IF('Parameter Assumptions'!$B$11="M5",F20,IF('Parameter Assumptions'!$B$11="M15",G20,IF('Parameter Assumptions'!$B$11="STLN",H20,IF('Parameter Assumptions'!$B$11="B100",I20,IF('Parameter Assumptions'!$B$11="B80M15",J20,IF('Parameter Assumptions'!$B$11="B60M15",K20,99999))))))))</f>
        <v>0</v>
      </c>
      <c r="C20" s="22">
        <f>B20/(1+'Parameter Assumptions'!$B$4)^A20</f>
        <v>0</v>
      </c>
      <c r="D20" s="22">
        <f>B20/(1+'Parameter Assumptions'!$B$10)^A20</f>
        <v>0</v>
      </c>
      <c r="E20" s="22"/>
      <c r="F20" s="22"/>
      <c r="G20" s="22"/>
      <c r="H20" s="22">
        <f>IF(A20&lt;='Parameter Assumptions'!$B$12,1/'Parameter Assumptions'!$B$12,0)</f>
        <v>0</v>
      </c>
      <c r="I20" s="22"/>
      <c r="J20" s="22"/>
      <c r="K20" s="22"/>
    </row>
    <row r="21" spans="1:11" ht="15.75" x14ac:dyDescent="0.25">
      <c r="A21" s="5">
        <f t="shared" si="0"/>
        <v>20</v>
      </c>
      <c r="B21" s="21">
        <f>IF(A21&gt;'Parameter Assumptions'!$B$12,0,IF('Parameter Assumptions'!$B$11="M3",E21,IF('Parameter Assumptions'!$B$11="M5",F21,IF('Parameter Assumptions'!$B$11="M15",G21,IF('Parameter Assumptions'!$B$11="STLN",H21,IF('Parameter Assumptions'!$B$11="B100",I21,IF('Parameter Assumptions'!$B$11="B80M15",J21,IF('Parameter Assumptions'!$B$11="B60M15",K21,99999))))))))</f>
        <v>0</v>
      </c>
      <c r="C21" s="21">
        <f>B21/(1+'Parameter Assumptions'!$B$4)^A21</f>
        <v>0</v>
      </c>
      <c r="D21" s="21">
        <f>B21/(1+'Parameter Assumptions'!$B$10)^A21</f>
        <v>0</v>
      </c>
      <c r="E21" s="21"/>
      <c r="F21" s="21"/>
      <c r="G21" s="21"/>
      <c r="H21" s="21">
        <f>IF(A21&lt;='Parameter Assumptions'!$B$12,1/'Parameter Assumptions'!$B$12,0)</f>
        <v>0</v>
      </c>
      <c r="I21" s="21"/>
      <c r="J21" s="21"/>
      <c r="K21" s="21"/>
    </row>
    <row r="22" spans="1:11" ht="15.75" x14ac:dyDescent="0.25">
      <c r="A22" s="7" t="s">
        <v>28</v>
      </c>
      <c r="B22" s="22">
        <f t="shared" ref="B22:K22" si="3">SUM(B2:B21)</f>
        <v>1</v>
      </c>
      <c r="C22" s="22">
        <f t="shared" si="3"/>
        <v>0.89285714285714279</v>
      </c>
      <c r="D22" s="22">
        <f t="shared" si="3"/>
        <v>0.92152181956326329</v>
      </c>
      <c r="E22" s="22">
        <f t="shared" si="3"/>
        <v>1</v>
      </c>
      <c r="F22" s="22">
        <f t="shared" si="3"/>
        <v>0.99999999999999989</v>
      </c>
      <c r="G22" s="22">
        <f t="shared" si="3"/>
        <v>1.0000000000000002</v>
      </c>
      <c r="H22" s="22">
        <f t="shared" si="3"/>
        <v>1</v>
      </c>
      <c r="I22" s="22">
        <f t="shared" si="3"/>
        <v>1</v>
      </c>
      <c r="J22" s="22">
        <f t="shared" si="3"/>
        <v>0.99999999999999989</v>
      </c>
      <c r="K22" s="22">
        <f t="shared" si="3"/>
        <v>0.99999999999999978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0DEF1FE2251C4D88A91A2B40398D99" ma:contentTypeVersion="40" ma:contentTypeDescription="Create a new document." ma:contentTypeScope="" ma:versionID="9b7cea461ba7dde5087c17b88b262032">
  <xsd:schema xmlns:xsd="http://www.w3.org/2001/XMLSchema" xmlns:xs="http://www.w3.org/2001/XMLSchema" xmlns:p="http://schemas.microsoft.com/office/2006/metadata/properties" xmlns:ns2="6afa1ab1-c51d-411d-a97a-ff65c9e22441" targetNamespace="http://schemas.microsoft.com/office/2006/metadata/properties" ma:root="true" ma:fieldsID="5896b7d520348192023daf0bc572a353" ns2:_="">
    <xsd:import namespace="6afa1ab1-c51d-411d-a97a-ff65c9e2244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a1ab1-c51d-411d-a97a-ff65c9e22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2D3FD7-3D6A-4DBB-8AB2-F9B43FA8C9C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02A731B-784C-48E2-9F5B-CBA60B5971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083E3D-3805-44F9-9814-C635E9E4025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afa1ab1-c51d-411d-a97a-ff65c9e22441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B91F567-AFA3-4320-A556-F463EFECC8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fa1ab1-c51d-411d-a97a-ff65c9e224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 1 Mid Year Convention</vt:lpstr>
      <vt:lpstr>IRR Calculations</vt:lpstr>
      <vt:lpstr>Parameter Assumptions</vt:lpstr>
      <vt:lpstr>CRF Formulas</vt:lpstr>
      <vt:lpstr>Depreciation Factors</vt:lpstr>
    </vt:vector>
  </TitlesOfParts>
  <Company>Monitoring Analytics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John Hyatt</dc:creator>
  <cp:lastModifiedBy>S. Krausen</cp:lastModifiedBy>
  <dcterms:created xsi:type="dcterms:W3CDTF">2023-06-02T18:56:39Z</dcterms:created>
  <dcterms:modified xsi:type="dcterms:W3CDTF">2024-06-07T13:28:19Z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0x010100360DEF1FE2251C4D88A91A2B40398D99</vt:lpwstr>
  </property>
  <property fmtid="{D5CDD505-2E9C-101B-9397-08002B2CF9AE}" pid="3" name="_dlc_DocId">
    <vt:lpwstr>MUPMUYPVAE2Q-900932003-183859</vt:lpwstr>
  </property>
  <property fmtid="{D5CDD505-2E9C-101B-9397-08002B2CF9AE}" pid="4" name="_dlc_DocIdUrl">
    <vt:lpwstr>http://portal.ma.corp/Docs/_layouts/15/DocIdRedir.aspx?ID=MUPMUYPVAE2Q-900932003-183859, MUPMUYPVAE2Q-900932003-183859</vt:lpwstr>
  </property>
  <property fmtid="{D5CDD505-2E9C-101B-9397-08002B2CF9AE}" pid="5" name="_dlc_DocIdItemGuid">
    <vt:lpwstr>4ab7b6a4-9f43-45aa-b8fb-81f610414372</vt:lpwstr>
  </property>
</Properties>
</file>