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rausen\Desktop\"/>
    </mc:Choice>
  </mc:AlternateContent>
  <bookViews>
    <workbookView xWindow="0" yWindow="0" windowWidth="23040" windowHeight="8325" tabRatio="702" activeTab="2"/>
  </bookViews>
  <sheets>
    <sheet name="CRF Table" sheetId="4" r:id="rId1"/>
    <sheet name="5 Year Term" sheetId="1" r:id="rId2"/>
    <sheet name="10 Year Term" sheetId="6" r:id="rId3"/>
    <sheet name="15 Year Term" sheetId="7" r:id="rId4"/>
    <sheet name="20 Year Term" sheetId="8" r:id="rId5"/>
    <sheet name="Model Assumptions" sheetId="3" r:id="rId6"/>
    <sheet name="Depreciation Factors" sheetId="2" r:id="rId7"/>
  </sheets>
  <definedNames>
    <definedName name="solver_adj" localSheetId="2" hidden="1">'10 Year Term'!$B$3</definedName>
    <definedName name="solver_adj" localSheetId="3" hidden="1">'15 Year Term'!$B$3</definedName>
    <definedName name="solver_adj" localSheetId="4" hidden="1">'20 Year Term'!$B$3</definedName>
    <definedName name="solver_adj" localSheetId="1" hidden="1">'5 Year Term'!$B$3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1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1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1" hidden="1">0.075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1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1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1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opt" localSheetId="2" hidden="1">'10 Year Term'!$B$4</definedName>
    <definedName name="solver_opt" localSheetId="3" hidden="1">'15 Year Term'!$B$4</definedName>
    <definedName name="solver_opt" localSheetId="4" hidden="1">'20 Year Term'!$B$4</definedName>
    <definedName name="solver_opt" localSheetId="1" hidden="1">'5 Year Term'!$B$4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1" hidden="1">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1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1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1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1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1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1" hidden="1">0.01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typ" localSheetId="1" hidden="1">3</definedName>
    <definedName name="solver_val" localSheetId="2" hidden="1">0.12</definedName>
    <definedName name="solver_val" localSheetId="3" hidden="1">0.12</definedName>
    <definedName name="solver_val" localSheetId="4" hidden="1">0.12</definedName>
    <definedName name="solver_val" localSheetId="1" hidden="1">0.12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D9" i="8" s="1"/>
  <c r="E9" i="8" s="1"/>
  <c r="F9" i="8" s="1"/>
  <c r="G9" i="8" s="1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C9" i="7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C9" i="6"/>
  <c r="D9" i="6" s="1"/>
  <c r="E9" i="6" s="1"/>
  <c r="F9" i="6" s="1"/>
  <c r="G9" i="6" s="1"/>
  <c r="H9" i="6" s="1"/>
  <c r="I9" i="6" s="1"/>
  <c r="J9" i="6" s="1"/>
  <c r="K9" i="6" s="1"/>
  <c r="C9" i="1"/>
  <c r="D9" i="1" s="1"/>
  <c r="E9" i="1" s="1"/>
  <c r="F9" i="1" s="1"/>
  <c r="C6" i="4" l="1"/>
  <c r="C24" i="8"/>
  <c r="C14" i="8" s="1"/>
  <c r="D24" i="8"/>
  <c r="E24" i="8"/>
  <c r="F24" i="8"/>
  <c r="F14" i="8" s="1"/>
  <c r="G24" i="8"/>
  <c r="G14" i="8" s="1"/>
  <c r="H24" i="8"/>
  <c r="H14" i="8" s="1"/>
  <c r="I24" i="8"/>
  <c r="I14" i="8" s="1"/>
  <c r="J24" i="8"/>
  <c r="J14" i="8" s="1"/>
  <c r="K24" i="8"/>
  <c r="L24" i="8"/>
  <c r="M24" i="8"/>
  <c r="M14" i="8" s="1"/>
  <c r="N24" i="8"/>
  <c r="O24" i="8"/>
  <c r="O14" i="8" s="1"/>
  <c r="P24" i="8"/>
  <c r="P14" i="8" s="1"/>
  <c r="Q24" i="8"/>
  <c r="R24" i="8"/>
  <c r="S24" i="8"/>
  <c r="T24" i="8"/>
  <c r="U24" i="8"/>
  <c r="U14" i="8" s="1"/>
  <c r="B24" i="8"/>
  <c r="B14" i="8" s="1"/>
  <c r="Q21" i="8"/>
  <c r="R21" i="8" s="1"/>
  <c r="S21" i="8" s="1"/>
  <c r="T21" i="8" s="1"/>
  <c r="U21" i="8" s="1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10" i="8"/>
  <c r="A22" i="2"/>
  <c r="A19" i="2"/>
  <c r="A20" i="2" s="1"/>
  <c r="A21" i="2" s="1"/>
  <c r="Q7" i="8"/>
  <c r="R7" i="8" s="1"/>
  <c r="Q8" i="8"/>
  <c r="R8" i="8"/>
  <c r="S8" i="8"/>
  <c r="T8" i="8"/>
  <c r="U8" i="8"/>
  <c r="B22" i="8"/>
  <c r="B11" i="8" s="1"/>
  <c r="G21" i="8"/>
  <c r="H21" i="8" s="1"/>
  <c r="I21" i="8" s="1"/>
  <c r="J21" i="8" s="1"/>
  <c r="K21" i="8" s="1"/>
  <c r="L21" i="8" s="1"/>
  <c r="M21" i="8" s="1"/>
  <c r="N21" i="8" s="1"/>
  <c r="O21" i="8" s="1"/>
  <c r="P21" i="8" s="1"/>
  <c r="F21" i="8"/>
  <c r="B18" i="8"/>
  <c r="G17" i="8"/>
  <c r="F17" i="8"/>
  <c r="E17" i="8"/>
  <c r="D17" i="8"/>
  <c r="N14" i="8"/>
  <c r="K14" i="8"/>
  <c r="E14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F7" i="8"/>
  <c r="G7" i="8" s="1"/>
  <c r="C5" i="4"/>
  <c r="C24" i="7"/>
  <c r="C14" i="7" s="1"/>
  <c r="D24" i="7"/>
  <c r="E24" i="7"/>
  <c r="F24" i="7"/>
  <c r="G24" i="7"/>
  <c r="G14" i="7" s="1"/>
  <c r="H24" i="7"/>
  <c r="H14" i="7" s="1"/>
  <c r="I24" i="7"/>
  <c r="J24" i="7"/>
  <c r="J14" i="7" s="1"/>
  <c r="K24" i="7"/>
  <c r="K14" i="7" s="1"/>
  <c r="L24" i="7"/>
  <c r="L14" i="7" s="1"/>
  <c r="M24" i="7"/>
  <c r="M14" i="7" s="1"/>
  <c r="N24" i="7"/>
  <c r="O24" i="7"/>
  <c r="O14" i="7" s="1"/>
  <c r="P24" i="7"/>
  <c r="P14" i="7" s="1"/>
  <c r="B24" i="7"/>
  <c r="B14" i="7" s="1"/>
  <c r="L21" i="7"/>
  <c r="M21" i="7" s="1"/>
  <c r="N21" i="7" s="1"/>
  <c r="O21" i="7" s="1"/>
  <c r="P21" i="7" s="1"/>
  <c r="P7" i="7"/>
  <c r="P10" i="7" s="1"/>
  <c r="P8" i="7"/>
  <c r="L7" i="7"/>
  <c r="M7" i="7" s="1"/>
  <c r="L8" i="7"/>
  <c r="M8" i="7"/>
  <c r="N8" i="7"/>
  <c r="O8" i="7"/>
  <c r="L10" i="7"/>
  <c r="N14" i="7"/>
  <c r="B22" i="7"/>
  <c r="B11" i="7" s="1"/>
  <c r="F21" i="7"/>
  <c r="G21" i="7" s="1"/>
  <c r="H21" i="7" s="1"/>
  <c r="I21" i="7" s="1"/>
  <c r="J21" i="7" s="1"/>
  <c r="K21" i="7" s="1"/>
  <c r="B18" i="7"/>
  <c r="G17" i="7"/>
  <c r="F17" i="7"/>
  <c r="E17" i="7"/>
  <c r="D17" i="7"/>
  <c r="I14" i="7"/>
  <c r="E10" i="7"/>
  <c r="D10" i="7"/>
  <c r="C10" i="7"/>
  <c r="B10" i="7"/>
  <c r="K8" i="7"/>
  <c r="J8" i="7"/>
  <c r="I8" i="7"/>
  <c r="H8" i="7"/>
  <c r="G8" i="7"/>
  <c r="F8" i="7"/>
  <c r="E8" i="7"/>
  <c r="D8" i="7"/>
  <c r="C8" i="7"/>
  <c r="B8" i="7"/>
  <c r="G7" i="7"/>
  <c r="G10" i="7" s="1"/>
  <c r="F7" i="7"/>
  <c r="F10" i="7" s="1"/>
  <c r="C4" i="4"/>
  <c r="C24" i="6"/>
  <c r="C14" i="6" s="1"/>
  <c r="D24" i="6"/>
  <c r="D14" i="6" s="1"/>
  <c r="E24" i="6"/>
  <c r="F24" i="6"/>
  <c r="F14" i="6" s="1"/>
  <c r="G24" i="6"/>
  <c r="G14" i="6" s="1"/>
  <c r="H24" i="6"/>
  <c r="H14" i="6" s="1"/>
  <c r="I24" i="6"/>
  <c r="I14" i="6" s="1"/>
  <c r="J24" i="6"/>
  <c r="J14" i="6" s="1"/>
  <c r="K24" i="6"/>
  <c r="K14" i="6" s="1"/>
  <c r="B24" i="6"/>
  <c r="B14" i="6" s="1"/>
  <c r="G21" i="6"/>
  <c r="H21" i="6" s="1"/>
  <c r="I21" i="6" s="1"/>
  <c r="J21" i="6" s="1"/>
  <c r="K21" i="6" s="1"/>
  <c r="F21" i="6"/>
  <c r="G10" i="6"/>
  <c r="H10" i="6"/>
  <c r="I10" i="6"/>
  <c r="J10" i="6"/>
  <c r="K10" i="6"/>
  <c r="G8" i="6"/>
  <c r="H8" i="6"/>
  <c r="I8" i="6"/>
  <c r="J8" i="6"/>
  <c r="K8" i="6"/>
  <c r="G7" i="6"/>
  <c r="H7" i="6" s="1"/>
  <c r="I7" i="6" s="1"/>
  <c r="J7" i="6" s="1"/>
  <c r="K7" i="6" s="1"/>
  <c r="F7" i="6"/>
  <c r="B22" i="6"/>
  <c r="B11" i="6" s="1"/>
  <c r="B18" i="6"/>
  <c r="G17" i="6"/>
  <c r="F17" i="6"/>
  <c r="E17" i="6"/>
  <c r="D17" i="6"/>
  <c r="F10" i="6"/>
  <c r="E10" i="6"/>
  <c r="D10" i="6"/>
  <c r="C10" i="6"/>
  <c r="B10" i="6"/>
  <c r="F8" i="6"/>
  <c r="E8" i="6"/>
  <c r="D8" i="6"/>
  <c r="C8" i="6"/>
  <c r="B8" i="6"/>
  <c r="C24" i="1"/>
  <c r="C14" i="1" s="1"/>
  <c r="D24" i="1"/>
  <c r="D14" i="1" s="1"/>
  <c r="E24" i="1"/>
  <c r="E14" i="1" s="1"/>
  <c r="F24" i="1"/>
  <c r="F14" i="1" s="1"/>
  <c r="B24" i="1"/>
  <c r="B14" i="1" s="1"/>
  <c r="B22" i="1"/>
  <c r="B11" i="1" s="1"/>
  <c r="C3" i="4"/>
  <c r="B9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B18" i="1"/>
  <c r="G17" i="1"/>
  <c r="F17" i="1"/>
  <c r="E17" i="1"/>
  <c r="D17" i="1"/>
  <c r="B10" i="1"/>
  <c r="F8" i="1"/>
  <c r="E8" i="1"/>
  <c r="D8" i="1"/>
  <c r="C8" i="1"/>
  <c r="B8" i="1"/>
  <c r="B12" i="8" l="1"/>
  <c r="B13" i="8" s="1"/>
  <c r="C18" i="8" s="1"/>
  <c r="B12" i="7"/>
  <c r="B12" i="1"/>
  <c r="B13" i="1" s="1"/>
  <c r="C18" i="1" s="1"/>
  <c r="B12" i="6"/>
  <c r="B13" i="6" s="1"/>
  <c r="C18" i="6" s="1"/>
  <c r="B13" i="7"/>
  <c r="C18" i="7" s="1"/>
  <c r="T14" i="8"/>
  <c r="S14" i="8"/>
  <c r="R14" i="8"/>
  <c r="Q14" i="8"/>
  <c r="S7" i="8"/>
  <c r="H7" i="8"/>
  <c r="D14" i="8"/>
  <c r="L14" i="8"/>
  <c r="B23" i="8"/>
  <c r="B25" i="8" s="1"/>
  <c r="M10" i="7"/>
  <c r="N7" i="7"/>
  <c r="B23" i="7"/>
  <c r="B25" i="7" s="1"/>
  <c r="H7" i="7"/>
  <c r="D14" i="7"/>
  <c r="E14" i="7"/>
  <c r="F14" i="7"/>
  <c r="B23" i="6"/>
  <c r="B25" i="6" s="1"/>
  <c r="C22" i="6" s="1"/>
  <c r="E14" i="6"/>
  <c r="B23" i="1"/>
  <c r="B25" i="1" s="1"/>
  <c r="C22" i="1" s="1"/>
  <c r="C10" i="1"/>
  <c r="T7" i="8" l="1"/>
  <c r="C22" i="8"/>
  <c r="I7" i="8"/>
  <c r="N10" i="7"/>
  <c r="O7" i="7"/>
  <c r="O10" i="7" s="1"/>
  <c r="C22" i="7"/>
  <c r="H10" i="7"/>
  <c r="I7" i="7"/>
  <c r="C11" i="6"/>
  <c r="C23" i="6"/>
  <c r="C25" i="6" s="1"/>
  <c r="C23" i="1"/>
  <c r="C25" i="1" s="1"/>
  <c r="C11" i="1"/>
  <c r="C12" i="1" s="1"/>
  <c r="D10" i="1"/>
  <c r="C12" i="6" l="1"/>
  <c r="C13" i="6" s="1"/>
  <c r="D18" i="6" s="1"/>
  <c r="C13" i="1"/>
  <c r="D18" i="1" s="1"/>
  <c r="U7" i="8"/>
  <c r="J7" i="8"/>
  <c r="C23" i="8"/>
  <c r="C25" i="8" s="1"/>
  <c r="C11" i="8"/>
  <c r="C11" i="7"/>
  <c r="C12" i="7" s="1"/>
  <c r="C13" i="7" s="1"/>
  <c r="D18" i="7" s="1"/>
  <c r="C23" i="7"/>
  <c r="C25" i="7" s="1"/>
  <c r="I10" i="7"/>
  <c r="J7" i="7"/>
  <c r="D22" i="6"/>
  <c r="D22" i="1"/>
  <c r="F10" i="1"/>
  <c r="E10" i="1"/>
  <c r="C12" i="8" l="1"/>
  <c r="C13" i="8" s="1"/>
  <c r="D18" i="8" s="1"/>
  <c r="D22" i="8"/>
  <c r="K7" i="8"/>
  <c r="D22" i="7"/>
  <c r="K7" i="7"/>
  <c r="K10" i="7" s="1"/>
  <c r="J10" i="7"/>
  <c r="D11" i="6"/>
  <c r="D23" i="6"/>
  <c r="D25" i="6" s="1"/>
  <c r="D23" i="1"/>
  <c r="D25" i="1" s="1"/>
  <c r="D11" i="1"/>
  <c r="D12" i="1" s="1"/>
  <c r="D12" i="6" l="1"/>
  <c r="D13" i="6" s="1"/>
  <c r="E18" i="6" s="1"/>
  <c r="D13" i="1"/>
  <c r="E18" i="1" s="1"/>
  <c r="D11" i="8"/>
  <c r="D23" i="8"/>
  <c r="D25" i="8" s="1"/>
  <c r="L7" i="8"/>
  <c r="D11" i="7"/>
  <c r="D12" i="7" s="1"/>
  <c r="D13" i="7" s="1"/>
  <c r="E18" i="7" s="1"/>
  <c r="D23" i="7"/>
  <c r="D25" i="7" s="1"/>
  <c r="E22" i="6"/>
  <c r="E22" i="1"/>
  <c r="D12" i="8" l="1"/>
  <c r="D13" i="8" s="1"/>
  <c r="E18" i="8" s="1"/>
  <c r="M7" i="8"/>
  <c r="E22" i="8"/>
  <c r="E22" i="7"/>
  <c r="E11" i="6"/>
  <c r="E23" i="6"/>
  <c r="E25" i="6" s="1"/>
  <c r="E23" i="1"/>
  <c r="E25" i="1" s="1"/>
  <c r="F22" i="1" s="1"/>
  <c r="E11" i="1"/>
  <c r="E12" i="1" s="1"/>
  <c r="E12" i="6" l="1"/>
  <c r="E13" i="6" s="1"/>
  <c r="F18" i="6" s="1"/>
  <c r="E13" i="1"/>
  <c r="F18" i="1" s="1"/>
  <c r="E23" i="8"/>
  <c r="E25" i="8" s="1"/>
  <c r="E11" i="8"/>
  <c r="N7" i="8"/>
  <c r="E11" i="7"/>
  <c r="E12" i="7" s="1"/>
  <c r="E13" i="7" s="1"/>
  <c r="F18" i="7" s="1"/>
  <c r="E23" i="7"/>
  <c r="E25" i="7" s="1"/>
  <c r="F22" i="6"/>
  <c r="F23" i="1"/>
  <c r="F25" i="1" s="1"/>
  <c r="F11" i="1"/>
  <c r="F12" i="1" s="1"/>
  <c r="E12" i="8" l="1"/>
  <c r="E13" i="8" s="1"/>
  <c r="F18" i="8" s="1"/>
  <c r="F13" i="1"/>
  <c r="G18" i="1" s="1"/>
  <c r="B4" i="1" s="1"/>
  <c r="O7" i="8"/>
  <c r="F22" i="8"/>
  <c r="F22" i="7"/>
  <c r="F11" i="6"/>
  <c r="F23" i="6"/>
  <c r="F25" i="6" s="1"/>
  <c r="F12" i="6" l="1"/>
  <c r="F13" i="6" s="1"/>
  <c r="G18" i="6" s="1"/>
  <c r="F11" i="8"/>
  <c r="F23" i="8"/>
  <c r="F25" i="8" s="1"/>
  <c r="P7" i="8"/>
  <c r="F11" i="7"/>
  <c r="F12" i="7" s="1"/>
  <c r="F13" i="7" s="1"/>
  <c r="G18" i="7" s="1"/>
  <c r="F23" i="7"/>
  <c r="F25" i="7" s="1"/>
  <c r="G22" i="6"/>
  <c r="F12" i="8" l="1"/>
  <c r="F13" i="8" s="1"/>
  <c r="G18" i="8" s="1"/>
  <c r="G23" i="6"/>
  <c r="G25" i="6" s="1"/>
  <c r="H22" i="6" s="1"/>
  <c r="G11" i="6"/>
  <c r="G22" i="8"/>
  <c r="G22" i="7"/>
  <c r="G12" i="6" l="1"/>
  <c r="G13" i="6" s="1"/>
  <c r="H18" i="6" s="1"/>
  <c r="H23" i="6"/>
  <c r="H25" i="6" s="1"/>
  <c r="I22" i="6" s="1"/>
  <c r="H11" i="6"/>
  <c r="G11" i="8"/>
  <c r="G23" i="8"/>
  <c r="G25" i="8" s="1"/>
  <c r="G23" i="7"/>
  <c r="G25" i="7" s="1"/>
  <c r="G11" i="7"/>
  <c r="G12" i="7" s="1"/>
  <c r="G13" i="7" s="1"/>
  <c r="H18" i="7" s="1"/>
  <c r="G12" i="8" l="1"/>
  <c r="G13" i="8" s="1"/>
  <c r="H18" i="8" s="1"/>
  <c r="H12" i="6"/>
  <c r="H13" i="6" s="1"/>
  <c r="I18" i="6" s="1"/>
  <c r="I23" i="6"/>
  <c r="I25" i="6" s="1"/>
  <c r="I11" i="6"/>
  <c r="H22" i="8"/>
  <c r="H22" i="7"/>
  <c r="I12" i="6" l="1"/>
  <c r="I13" i="6" s="1"/>
  <c r="J18" i="6" s="1"/>
  <c r="J22" i="6"/>
  <c r="H11" i="8"/>
  <c r="H23" i="8"/>
  <c r="H25" i="8" s="1"/>
  <c r="H23" i="7"/>
  <c r="H25" i="7" s="1"/>
  <c r="H11" i="7"/>
  <c r="H12" i="7" s="1"/>
  <c r="H13" i="7" s="1"/>
  <c r="I18" i="7" s="1"/>
  <c r="H12" i="8" l="1"/>
  <c r="H13" i="8" s="1"/>
  <c r="I18" i="8" s="1"/>
  <c r="J23" i="6"/>
  <c r="J25" i="6" s="1"/>
  <c r="K22" i="6" s="1"/>
  <c r="J11" i="6"/>
  <c r="I22" i="8"/>
  <c r="I22" i="7"/>
  <c r="J12" i="6" l="1"/>
  <c r="J13" i="6" s="1"/>
  <c r="K18" i="6" s="1"/>
  <c r="K23" i="6"/>
  <c r="K25" i="6" s="1"/>
  <c r="K11" i="6"/>
  <c r="I11" i="8"/>
  <c r="I23" i="8"/>
  <c r="I25" i="8" s="1"/>
  <c r="I11" i="7"/>
  <c r="I12" i="7" s="1"/>
  <c r="I13" i="7" s="1"/>
  <c r="J18" i="7" s="1"/>
  <c r="I23" i="7"/>
  <c r="I25" i="7" s="1"/>
  <c r="I12" i="8" l="1"/>
  <c r="I13" i="8" s="1"/>
  <c r="J18" i="8" s="1"/>
  <c r="K12" i="6"/>
  <c r="K13" i="6" s="1"/>
  <c r="J22" i="8"/>
  <c r="J22" i="7"/>
  <c r="B4" i="6" l="1"/>
  <c r="L18" i="6"/>
  <c r="J11" i="8"/>
  <c r="J23" i="8"/>
  <c r="J25" i="8" s="1"/>
  <c r="J11" i="7"/>
  <c r="J12" i="7" s="1"/>
  <c r="J13" i="7" s="1"/>
  <c r="K18" i="7" s="1"/>
  <c r="J23" i="7"/>
  <c r="J25" i="7" s="1"/>
  <c r="J12" i="8" l="1"/>
  <c r="J13" i="8" s="1"/>
  <c r="K18" i="8" s="1"/>
  <c r="K22" i="8"/>
  <c r="K22" i="7"/>
  <c r="K23" i="8" l="1"/>
  <c r="K25" i="8" s="1"/>
  <c r="K11" i="8"/>
  <c r="K11" i="7"/>
  <c r="K12" i="7" s="1"/>
  <c r="K13" i="7" s="1"/>
  <c r="L18" i="7" s="1"/>
  <c r="K23" i="7"/>
  <c r="K25" i="7" s="1"/>
  <c r="L22" i="7" s="1"/>
  <c r="K12" i="8" l="1"/>
  <c r="K13" i="8" s="1"/>
  <c r="L18" i="8" s="1"/>
  <c r="L22" i="8"/>
  <c r="L11" i="7"/>
  <c r="L12" i="7" s="1"/>
  <c r="L13" i="7" s="1"/>
  <c r="M18" i="7" s="1"/>
  <c r="L23" i="7"/>
  <c r="L25" i="7" s="1"/>
  <c r="M22" i="7" s="1"/>
  <c r="L11" i="8" l="1"/>
  <c r="L23" i="8"/>
  <c r="L25" i="8" s="1"/>
  <c r="M11" i="7"/>
  <c r="M12" i="7" s="1"/>
  <c r="M13" i="7" s="1"/>
  <c r="N18" i="7" s="1"/>
  <c r="M23" i="7"/>
  <c r="M25" i="7" s="1"/>
  <c r="N22" i="7" s="1"/>
  <c r="L12" i="8" l="1"/>
  <c r="L13" i="8" s="1"/>
  <c r="M18" i="8" s="1"/>
  <c r="M22" i="8"/>
  <c r="N11" i="7"/>
  <c r="N12" i="7" s="1"/>
  <c r="N13" i="7" s="1"/>
  <c r="O18" i="7" s="1"/>
  <c r="N23" i="7"/>
  <c r="N25" i="7" s="1"/>
  <c r="O22" i="7" s="1"/>
  <c r="M23" i="8" l="1"/>
  <c r="M25" i="8" s="1"/>
  <c r="M11" i="8"/>
  <c r="O11" i="7"/>
  <c r="O12" i="7" s="1"/>
  <c r="O13" i="7" s="1"/>
  <c r="P18" i="7" s="1"/>
  <c r="O23" i="7"/>
  <c r="O25" i="7" s="1"/>
  <c r="P22" i="7" s="1"/>
  <c r="M12" i="8" l="1"/>
  <c r="M13" i="8" s="1"/>
  <c r="N18" i="8" s="1"/>
  <c r="N22" i="8"/>
  <c r="P11" i="7"/>
  <c r="P23" i="7"/>
  <c r="P25" i="7" s="1"/>
  <c r="B4" i="7" l="1"/>
  <c r="P12" i="7"/>
  <c r="P13" i="7" s="1"/>
  <c r="Q18" i="7" s="1"/>
  <c r="N11" i="8"/>
  <c r="N23" i="8"/>
  <c r="N25" i="8" s="1"/>
  <c r="N12" i="8" l="1"/>
  <c r="N13" i="8" s="1"/>
  <c r="O18" i="8" s="1"/>
  <c r="O22" i="8"/>
  <c r="O11" i="8" l="1"/>
  <c r="O23" i="8"/>
  <c r="O25" i="8" s="1"/>
  <c r="O12" i="8" l="1"/>
  <c r="O13" i="8" s="1"/>
  <c r="P18" i="8" s="1"/>
  <c r="P22" i="8"/>
  <c r="P11" i="8" l="1"/>
  <c r="P23" i="8"/>
  <c r="P25" i="8" s="1"/>
  <c r="Q22" i="8" s="1"/>
  <c r="P12" i="8" l="1"/>
  <c r="P13" i="8" s="1"/>
  <c r="Q18" i="8" s="1"/>
  <c r="Q11" i="8"/>
  <c r="Q23" i="8"/>
  <c r="Q25" i="8" s="1"/>
  <c r="R22" i="8" s="1"/>
  <c r="Q12" i="8" l="1"/>
  <c r="Q13" i="8" s="1"/>
  <c r="R18" i="8" s="1"/>
  <c r="R11" i="8"/>
  <c r="R23" i="8"/>
  <c r="R25" i="8" s="1"/>
  <c r="S22" i="8" s="1"/>
  <c r="R12" i="8" l="1"/>
  <c r="R13" i="8" s="1"/>
  <c r="S18" i="8" s="1"/>
  <c r="S11" i="8"/>
  <c r="S23" i="8"/>
  <c r="S25" i="8" s="1"/>
  <c r="T22" i="8" s="1"/>
  <c r="S12" i="8" l="1"/>
  <c r="S13" i="8" s="1"/>
  <c r="T18" i="8" s="1"/>
  <c r="T11" i="8"/>
  <c r="T23" i="8"/>
  <c r="T25" i="8" s="1"/>
  <c r="U22" i="8" s="1"/>
  <c r="T12" i="8" l="1"/>
  <c r="T13" i="8" s="1"/>
  <c r="U18" i="8" s="1"/>
  <c r="U11" i="8"/>
  <c r="U23" i="8"/>
  <c r="U25" i="8" s="1"/>
  <c r="U12" i="8" l="1"/>
  <c r="U13" i="8" s="1"/>
  <c r="B4" i="8" l="1"/>
  <c r="V18" i="8"/>
</calcChain>
</file>

<file path=xl/sharedStrings.xml><?xml version="1.0" encoding="utf-8"?>
<sst xmlns="http://schemas.openxmlformats.org/spreadsheetml/2006/main" count="111" uniqueCount="42">
  <si>
    <t>Return on equity</t>
  </si>
  <si>
    <t>Debt funding percent</t>
  </si>
  <si>
    <t>Equity funding percent</t>
  </si>
  <si>
    <t>Debt interest rate</t>
  </si>
  <si>
    <t>Federal income tax rate</t>
  </si>
  <si>
    <t>State income tax rate</t>
  </si>
  <si>
    <t>Effective income tax rate</t>
  </si>
  <si>
    <t>Depreciation</t>
  </si>
  <si>
    <t>CRF</t>
  </si>
  <si>
    <t>Capital Investment</t>
  </si>
  <si>
    <t>15 Year MACRS Factors</t>
  </si>
  <si>
    <t>After tax cash flow to equity investor</t>
  </si>
  <si>
    <t>25 Plus</t>
  </si>
  <si>
    <t>21 to 25</t>
  </si>
  <si>
    <t>16 to 20</t>
  </si>
  <si>
    <t>11 to 15</t>
  </si>
  <si>
    <t>Age of Existing Units
 (Years)</t>
  </si>
  <si>
    <t>Remaining Life of Plant 
 (Years)</t>
  </si>
  <si>
    <t>Levelized CRF 
@ 12% IRR</t>
  </si>
  <si>
    <t>Internal Rate of Return (IRR)</t>
  </si>
  <si>
    <t>Assumed investment &amp; payment dates</t>
  </si>
  <si>
    <t>Debt Payment Summary</t>
  </si>
  <si>
    <t>Cash flow summary</t>
  </si>
  <si>
    <t>Cost recovery year</t>
  </si>
  <si>
    <t>Annual revenue payment</t>
  </si>
  <si>
    <t>Interest rate payment</t>
  </si>
  <si>
    <t>Taxable income</t>
  </si>
  <si>
    <t>Income tax payment</t>
  </si>
  <si>
    <t>Debt payment</t>
  </si>
  <si>
    <t>Interest payment</t>
  </si>
  <si>
    <t>Principal payment</t>
  </si>
  <si>
    <t>Total debt payment</t>
  </si>
  <si>
    <t>Payment number</t>
  </si>
  <si>
    <t>After tax cash flow to equity investors for IRR calculation</t>
  </si>
  <si>
    <t>Parameter Value</t>
  </si>
  <si>
    <t>Parameter</t>
  </si>
  <si>
    <t>Year</t>
  </si>
  <si>
    <t>Outstanding principal</t>
  </si>
  <si>
    <t>Variables</t>
  </si>
  <si>
    <t>Inflation rate</t>
  </si>
  <si>
    <t>Fixed O&amp;M</t>
  </si>
  <si>
    <t>IMM-0017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</si>
</sst>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164" formatCode="&quot;$&quot;#,##0"/>
    <numFmt numFmtId="165" formatCode="0.000"/>
    <numFmt numFmtId="166" formatCode="0.0000000"/>
    <numFmt numFmtId="167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53E59"/>
        <bgColor indexed="64"/>
      </patternFill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6" fontId="3" fillId="2" borderId="0" xfId="0" applyNumberFormat="1" applyFont="1" applyFill="1"/>
    <xf numFmtId="0" fontId="3" fillId="2" borderId="0" xfId="0" applyFont="1" applyFill="1"/>
    <xf numFmtId="0" fontId="2" fillId="3" borderId="0" xfId="0" applyFont="1" applyFill="1"/>
    <xf numFmtId="164" fontId="2" fillId="3" borderId="0" xfId="0" applyNumberFormat="1" applyFont="1" applyFill="1"/>
    <xf numFmtId="14" fontId="2" fillId="3" borderId="0" xfId="0" applyNumberFormat="1" applyFont="1" applyFill="1"/>
    <xf numFmtId="0" fontId="3" fillId="2" borderId="0" xfId="0" applyFont="1" applyFill="1" applyAlignment="1">
      <alignment horizontal="right" wrapText="1"/>
    </xf>
    <xf numFmtId="0" fontId="2" fillId="2" borderId="0" xfId="0" applyFont="1" applyFill="1"/>
    <xf numFmtId="0" fontId="4" fillId="0" borderId="0" xfId="0" applyFont="1" applyFill="1"/>
    <xf numFmtId="5" fontId="2" fillId="0" borderId="0" xfId="0" applyNumberFormat="1" applyFont="1"/>
    <xf numFmtId="0" fontId="3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/>
    <xf numFmtId="0" fontId="2" fillId="0" borderId="0" xfId="0" applyFont="1" applyAlignment="1">
      <alignment horizontal="center"/>
    </xf>
    <xf numFmtId="10" fontId="2" fillId="0" borderId="0" xfId="1" applyNumberFormat="1" applyFont="1"/>
    <xf numFmtId="10" fontId="2" fillId="3" borderId="0" xfId="1" applyNumberFormat="1" applyFont="1" applyFill="1"/>
    <xf numFmtId="166" fontId="2" fillId="0" borderId="0" xfId="0" applyNumberFormat="1" applyFont="1"/>
    <xf numFmtId="166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0" borderId="0" xfId="0" applyFont="1" applyFill="1"/>
    <xf numFmtId="167" fontId="2" fillId="0" borderId="0" xfId="1" applyNumberFormat="1" applyFont="1" applyFill="1"/>
    <xf numFmtId="164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DDD"/>
      <color rgb="FF153E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activeCell="E1" sqref="E1"/>
    </sheetView>
  </sheetViews>
  <sheetFormatPr defaultColWidth="8.85546875" defaultRowHeight="15.75" x14ac:dyDescent="0.25"/>
  <cols>
    <col min="1" max="1" width="17.5703125" style="1" customWidth="1"/>
    <col min="2" max="2" width="18.28515625" style="1" customWidth="1"/>
    <col min="3" max="3" width="12" style="1" bestFit="1" customWidth="1"/>
    <col min="4" max="16384" width="8.85546875" style="1"/>
  </cols>
  <sheetData>
    <row r="1" spans="1:5" x14ac:dyDescent="0.25">
      <c r="E1" s="1" t="s">
        <v>41</v>
      </c>
    </row>
    <row r="2" spans="1:5" ht="47.25" x14ac:dyDescent="0.25">
      <c r="A2" s="13" t="s">
        <v>16</v>
      </c>
      <c r="B2" s="13" t="s">
        <v>17</v>
      </c>
      <c r="C2" s="9" t="s">
        <v>18</v>
      </c>
    </row>
    <row r="3" spans="1:5" x14ac:dyDescent="0.25">
      <c r="A3" s="14" t="s">
        <v>12</v>
      </c>
      <c r="B3" s="6">
        <v>5</v>
      </c>
      <c r="C3" s="15">
        <f>TRUNC('5 Year Term'!B3,3)</f>
        <v>0.36299999999999999</v>
      </c>
    </row>
    <row r="4" spans="1:5" x14ac:dyDescent="0.25">
      <c r="A4" s="16" t="s">
        <v>13</v>
      </c>
      <c r="B4" s="1">
        <v>10</v>
      </c>
      <c r="C4" s="1">
        <f>TRUNC('10 Year Term'!B3,3)</f>
        <v>0.19800000000000001</v>
      </c>
    </row>
    <row r="5" spans="1:5" x14ac:dyDescent="0.25">
      <c r="A5" s="14" t="s">
        <v>14</v>
      </c>
      <c r="B5" s="6">
        <v>15</v>
      </c>
      <c r="C5" s="6">
        <f>TRUNC('15 Year Term'!B3,3)</f>
        <v>0.14599999999999999</v>
      </c>
    </row>
    <row r="6" spans="1:5" x14ac:dyDescent="0.25">
      <c r="A6" s="16" t="s">
        <v>15</v>
      </c>
      <c r="B6" s="1">
        <v>20</v>
      </c>
      <c r="C6" s="1">
        <f>TRUNC('20 Year Term'!B3,3)</f>
        <v>0.125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C37" sqref="C37"/>
    </sheetView>
  </sheetViews>
  <sheetFormatPr defaultColWidth="8.85546875" defaultRowHeight="15.75" x14ac:dyDescent="0.25"/>
  <cols>
    <col min="1" max="1" width="32.28515625" style="1" customWidth="1"/>
    <col min="2" max="7" width="10.7109375" style="1" customWidth="1"/>
    <col min="8" max="10" width="8.85546875" style="1"/>
    <col min="11" max="11" width="9" style="1" customWidth="1"/>
    <col min="12" max="12" width="15.5703125" style="1" bestFit="1" customWidth="1"/>
    <col min="13" max="13" width="12.7109375" style="1" bestFit="1" customWidth="1"/>
    <col min="14" max="16384" width="8.85546875" style="1"/>
  </cols>
  <sheetData>
    <row r="1" spans="1:7" x14ac:dyDescent="0.25">
      <c r="D1" s="1" t="s">
        <v>41</v>
      </c>
    </row>
    <row r="2" spans="1:7" x14ac:dyDescent="0.25">
      <c r="A2" s="5" t="s">
        <v>38</v>
      </c>
      <c r="B2" s="5"/>
    </row>
    <row r="3" spans="1:7" x14ac:dyDescent="0.25">
      <c r="A3" s="6" t="s">
        <v>8</v>
      </c>
      <c r="B3" s="20">
        <v>0.3639559379306333</v>
      </c>
      <c r="C3" s="11"/>
      <c r="D3" s="11"/>
      <c r="E3" s="11"/>
      <c r="F3" s="11"/>
    </row>
    <row r="4" spans="1:7" x14ac:dyDescent="0.25">
      <c r="A4" s="22" t="s">
        <v>19</v>
      </c>
      <c r="B4" s="23">
        <f>XIRR(B18:G18,B17:G17,0.2)</f>
        <v>0.11999999880790704</v>
      </c>
      <c r="C4" s="11"/>
      <c r="D4" s="11"/>
      <c r="E4" s="11"/>
      <c r="F4" s="11"/>
    </row>
    <row r="6" spans="1:7" x14ac:dyDescent="0.25">
      <c r="A6" s="5" t="s">
        <v>22</v>
      </c>
      <c r="B6" s="5"/>
      <c r="C6" s="5"/>
      <c r="D6" s="5"/>
      <c r="E6" s="5"/>
      <c r="F6" s="5"/>
    </row>
    <row r="7" spans="1:7" x14ac:dyDescent="0.25">
      <c r="A7" s="6" t="s">
        <v>23</v>
      </c>
      <c r="B7" s="6">
        <v>1</v>
      </c>
      <c r="C7" s="6">
        <v>2</v>
      </c>
      <c r="D7" s="6">
        <v>3</v>
      </c>
      <c r="E7" s="6">
        <v>4</v>
      </c>
      <c r="F7" s="6">
        <v>5</v>
      </c>
    </row>
    <row r="8" spans="1:7" x14ac:dyDescent="0.25">
      <c r="A8" s="1" t="s">
        <v>24</v>
      </c>
      <c r="B8" s="2">
        <f>'Model Assumptions'!$B$10*$B$3</f>
        <v>363955.93793063331</v>
      </c>
      <c r="C8" s="2">
        <f>'Model Assumptions'!$B$10*$B$3</f>
        <v>363955.93793063331</v>
      </c>
      <c r="D8" s="2">
        <f>'Model Assumptions'!$B$10*$B$3</f>
        <v>363955.93793063331</v>
      </c>
      <c r="E8" s="2">
        <f>'Model Assumptions'!$B$10*$B$3</f>
        <v>363955.93793063331</v>
      </c>
      <c r="F8" s="2">
        <f>'Model Assumptions'!$B$10*$B$3</f>
        <v>363955.93793063331</v>
      </c>
    </row>
    <row r="9" spans="1:7" x14ac:dyDescent="0.25">
      <c r="A9" s="6" t="s">
        <v>40</v>
      </c>
      <c r="B9" s="7">
        <v>0</v>
      </c>
      <c r="C9" s="7">
        <f>B9*(1+'Model Assumptions'!$B$11)</f>
        <v>0</v>
      </c>
      <c r="D9" s="7">
        <f>C9*(1+'Model Assumptions'!$B$11)</f>
        <v>0</v>
      </c>
      <c r="E9" s="7">
        <f>D9*(1+'Model Assumptions'!$B$11)</f>
        <v>0</v>
      </c>
      <c r="F9" s="7">
        <f>E9*(1+'Model Assumptions'!$B$11)</f>
        <v>0</v>
      </c>
    </row>
    <row r="10" spans="1:7" x14ac:dyDescent="0.25">
      <c r="A10" s="22" t="s">
        <v>7</v>
      </c>
      <c r="B10" s="24">
        <f>'Model Assumptions'!$B$10*INDEX('Depreciation Factors'!$B$3:$B$18,MATCH(B7,'Depreciation Factors'!$A$3:$A$18,0))</f>
        <v>50000</v>
      </c>
      <c r="C10" s="24">
        <f>'Model Assumptions'!$B$10*INDEX('Depreciation Factors'!$B$3:$B$18,MATCH(C7,'Depreciation Factors'!$A$3:$A$18,0))</f>
        <v>95000</v>
      </c>
      <c r="D10" s="24">
        <f>'Model Assumptions'!$B$10*INDEX('Depreciation Factors'!$B$3:$B$18,MATCH(D7,'Depreciation Factors'!$A$3:$A$18,0))</f>
        <v>85500</v>
      </c>
      <c r="E10" s="24">
        <f>'Model Assumptions'!$B$10*INDEX('Depreciation Factors'!$B$3:$B$18,MATCH(E7,'Depreciation Factors'!$A$3:$A$18,0))</f>
        <v>76950</v>
      </c>
      <c r="F10" s="24">
        <f>'Model Assumptions'!$B$10*INDEX('Depreciation Factors'!$B$3:$B$18,MATCH(F7,'Depreciation Factors'!$A$3:$A$18,0))</f>
        <v>69255</v>
      </c>
    </row>
    <row r="11" spans="1:7" x14ac:dyDescent="0.25">
      <c r="A11" s="6" t="s">
        <v>25</v>
      </c>
      <c r="B11" s="7">
        <f>B22</f>
        <v>35000</v>
      </c>
      <c r="C11" s="7">
        <f t="shared" ref="C11:F11" si="0">C22</f>
        <v>28913.82569455191</v>
      </c>
      <c r="D11" s="7">
        <f t="shared" si="0"/>
        <v>22401.619187722456</v>
      </c>
      <c r="E11" s="7">
        <f t="shared" si="0"/>
        <v>15433.558225414934</v>
      </c>
      <c r="F11" s="7">
        <f t="shared" si="0"/>
        <v>7977.7329957458851</v>
      </c>
    </row>
    <row r="12" spans="1:7" x14ac:dyDescent="0.25">
      <c r="A12" s="22" t="s">
        <v>26</v>
      </c>
      <c r="B12" s="24">
        <f>B8-B9-B10-B11</f>
        <v>278955.93793063331</v>
      </c>
      <c r="C12" s="24">
        <f t="shared" ref="C12:F12" si="1">C8-C9-C10-C11</f>
        <v>240042.11223608139</v>
      </c>
      <c r="D12" s="24">
        <f t="shared" si="1"/>
        <v>256054.31874291087</v>
      </c>
      <c r="E12" s="24">
        <f t="shared" si="1"/>
        <v>271572.37970521837</v>
      </c>
      <c r="F12" s="24">
        <f t="shared" si="1"/>
        <v>286723.20493488741</v>
      </c>
    </row>
    <row r="13" spans="1:7" x14ac:dyDescent="0.25">
      <c r="A13" s="6" t="s">
        <v>27</v>
      </c>
      <c r="B13" s="7">
        <f>B12*'Model Assumptions'!$B$9</f>
        <v>116491.99967983246</v>
      </c>
      <c r="C13" s="7">
        <f>C12*'Model Assumptions'!$B$9</f>
        <v>100241.58606978758</v>
      </c>
      <c r="D13" s="7">
        <f>D12*'Model Assumptions'!$B$9</f>
        <v>106928.28350703957</v>
      </c>
      <c r="E13" s="7">
        <f>E12*'Model Assumptions'!$B$9</f>
        <v>113408.62576489919</v>
      </c>
      <c r="F13" s="7">
        <f>F12*'Model Assumptions'!$B$9</f>
        <v>119735.61038080897</v>
      </c>
    </row>
    <row r="14" spans="1:7" x14ac:dyDescent="0.25">
      <c r="A14" s="22" t="s">
        <v>28</v>
      </c>
      <c r="B14" s="24">
        <f>B24</f>
        <v>121945.34722068704</v>
      </c>
      <c r="C14" s="24">
        <f t="shared" ref="C14:F14" si="2">C24</f>
        <v>121945.34722068704</v>
      </c>
      <c r="D14" s="24">
        <f t="shared" si="2"/>
        <v>121945.34722068704</v>
      </c>
      <c r="E14" s="24">
        <f t="shared" si="2"/>
        <v>121945.34722068704</v>
      </c>
      <c r="F14" s="24">
        <f t="shared" si="2"/>
        <v>121945.34722068704</v>
      </c>
    </row>
    <row r="16" spans="1:7" x14ac:dyDescent="0.25">
      <c r="A16" s="5" t="s">
        <v>33</v>
      </c>
      <c r="B16" s="4"/>
      <c r="C16" s="10"/>
      <c r="D16" s="10"/>
      <c r="E16" s="10"/>
      <c r="F16" s="10"/>
      <c r="G16" s="10"/>
    </row>
    <row r="17" spans="1:7" x14ac:dyDescent="0.25">
      <c r="A17" s="6" t="s">
        <v>20</v>
      </c>
      <c r="B17" s="8">
        <v>39083</v>
      </c>
      <c r="C17" s="8">
        <v>39264</v>
      </c>
      <c r="D17" s="8">
        <f>DATE(2008,7,1)</f>
        <v>39630</v>
      </c>
      <c r="E17" s="8">
        <f>DATE(2009,7,1)</f>
        <v>39995</v>
      </c>
      <c r="F17" s="8">
        <f>DATE(2010,7,1)</f>
        <v>40360</v>
      </c>
      <c r="G17" s="8">
        <f>DATE(2011,7,1)</f>
        <v>40725</v>
      </c>
    </row>
    <row r="18" spans="1:7" x14ac:dyDescent="0.25">
      <c r="A18" s="3" t="s">
        <v>11</v>
      </c>
      <c r="B18" s="12">
        <f>-'Model Assumptions'!B3*'Model Assumptions'!B10</f>
        <v>-500000</v>
      </c>
      <c r="C18" s="2">
        <f>B8-B9-B13-B14</f>
        <v>125518.59103011382</v>
      </c>
      <c r="D18" s="2">
        <f t="shared" ref="D18:G18" si="3">C8-C9-C13-C14</f>
        <v>141769.00464015873</v>
      </c>
      <c r="E18" s="2">
        <f t="shared" si="3"/>
        <v>135082.3072029067</v>
      </c>
      <c r="F18" s="2">
        <f t="shared" si="3"/>
        <v>128601.96494504709</v>
      </c>
      <c r="G18" s="2">
        <f t="shared" si="3"/>
        <v>122274.98032913731</v>
      </c>
    </row>
    <row r="20" spans="1:7" x14ac:dyDescent="0.25">
      <c r="A20" s="5" t="s">
        <v>21</v>
      </c>
      <c r="B20" s="9"/>
      <c r="C20" s="9"/>
      <c r="D20" s="9"/>
      <c r="E20" s="9"/>
      <c r="F20" s="10"/>
    </row>
    <row r="21" spans="1:7" customFormat="1" x14ac:dyDescent="0.25">
      <c r="A21" s="6" t="s">
        <v>32</v>
      </c>
      <c r="B21" s="21">
        <v>1</v>
      </c>
      <c r="C21" s="21">
        <v>2</v>
      </c>
      <c r="D21" s="21">
        <v>3</v>
      </c>
      <c r="E21" s="21">
        <v>4</v>
      </c>
      <c r="F21" s="21">
        <v>5</v>
      </c>
    </row>
    <row r="22" spans="1:7" customFormat="1" x14ac:dyDescent="0.25">
      <c r="A22" s="1" t="s">
        <v>29</v>
      </c>
      <c r="B22" s="2">
        <f>'Model Assumptions'!B6*'Model Assumptions'!B4*'Model Assumptions'!B10</f>
        <v>35000</v>
      </c>
      <c r="C22" s="2">
        <f>'Model Assumptions'!$B$6*B25</f>
        <v>28913.82569455191</v>
      </c>
      <c r="D22" s="2">
        <f>'Model Assumptions'!$B$6*C25</f>
        <v>22401.619187722456</v>
      </c>
      <c r="E22" s="2">
        <f>'Model Assumptions'!$B$6*D25</f>
        <v>15433.558225414934</v>
      </c>
      <c r="F22" s="2">
        <f>'Model Assumptions'!$B$6*E25</f>
        <v>7977.7329957458851</v>
      </c>
    </row>
    <row r="23" spans="1:7" customFormat="1" x14ac:dyDescent="0.25">
      <c r="A23" s="6" t="s">
        <v>30</v>
      </c>
      <c r="B23" s="7">
        <f>B24-B22</f>
        <v>86945.347220687036</v>
      </c>
      <c r="C23" s="7">
        <f t="shared" ref="C23:F23" si="4">C24-C22</f>
        <v>93031.521526135126</v>
      </c>
      <c r="D23" s="7">
        <f t="shared" si="4"/>
        <v>99543.728032964573</v>
      </c>
      <c r="E23" s="7">
        <f t="shared" si="4"/>
        <v>106511.7889952721</v>
      </c>
      <c r="F23" s="7">
        <f t="shared" si="4"/>
        <v>113967.61422494115</v>
      </c>
    </row>
    <row r="24" spans="1:7" x14ac:dyDescent="0.25">
      <c r="A24" s="1" t="s">
        <v>31</v>
      </c>
      <c r="B24" s="2">
        <f>-PMT('Model Assumptions'!$B$6,5,'Model Assumptions'!$B$4*'Model Assumptions'!$B$10,,0)</f>
        <v>121945.34722068704</v>
      </c>
      <c r="C24" s="2">
        <f>-PMT('Model Assumptions'!$B$6,5,'Model Assumptions'!$B$4*'Model Assumptions'!$B$10,,0)</f>
        <v>121945.34722068704</v>
      </c>
      <c r="D24" s="2">
        <f>-PMT('Model Assumptions'!$B$6,5,'Model Assumptions'!$B$4*'Model Assumptions'!$B$10,,0)</f>
        <v>121945.34722068704</v>
      </c>
      <c r="E24" s="2">
        <f>-PMT('Model Assumptions'!$B$6,5,'Model Assumptions'!$B$4*'Model Assumptions'!$B$10,,0)</f>
        <v>121945.34722068704</v>
      </c>
      <c r="F24" s="2">
        <f>-PMT('Model Assumptions'!$B$6,5,'Model Assumptions'!$B$4*'Model Assumptions'!$B$10,,0)</f>
        <v>121945.34722068704</v>
      </c>
    </row>
    <row r="25" spans="1:7" x14ac:dyDescent="0.25">
      <c r="A25" s="6" t="s">
        <v>37</v>
      </c>
      <c r="B25" s="7">
        <f>'Model Assumptions'!B4*'Model Assumptions'!B10-'5 Year Term'!B23</f>
        <v>413054.65277931298</v>
      </c>
      <c r="C25" s="7">
        <f>B25-C23</f>
        <v>320023.13125317788</v>
      </c>
      <c r="D25" s="7">
        <f t="shared" ref="D25:F25" si="5">C25-D23</f>
        <v>220479.40322021331</v>
      </c>
      <c r="E25" s="7">
        <f t="shared" si="5"/>
        <v>113967.61422494121</v>
      </c>
      <c r="F25" s="7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workbookViewId="0">
      <selection activeCell="D1" sqref="D1"/>
    </sheetView>
  </sheetViews>
  <sheetFormatPr defaultColWidth="8.85546875" defaultRowHeight="15.75" x14ac:dyDescent="0.25"/>
  <cols>
    <col min="1" max="1" width="32.28515625" style="1" customWidth="1"/>
    <col min="2" max="23" width="9.7109375" style="1" customWidth="1"/>
    <col min="24" max="16384" width="8.85546875" style="1"/>
  </cols>
  <sheetData>
    <row r="1" spans="1:12" x14ac:dyDescent="0.25">
      <c r="D1" s="1" t="s">
        <v>41</v>
      </c>
    </row>
    <row r="2" spans="1:12" x14ac:dyDescent="0.25">
      <c r="A2" s="5" t="s">
        <v>38</v>
      </c>
      <c r="B2" s="5"/>
    </row>
    <row r="3" spans="1:12" x14ac:dyDescent="0.25">
      <c r="A3" s="6" t="s">
        <v>8</v>
      </c>
      <c r="B3" s="20">
        <v>0.19869402881287615</v>
      </c>
      <c r="C3" s="11"/>
      <c r="D3" s="11"/>
      <c r="E3" s="11"/>
      <c r="F3" s="11"/>
    </row>
    <row r="4" spans="1:12" x14ac:dyDescent="0.25">
      <c r="A4" s="22" t="s">
        <v>19</v>
      </c>
      <c r="B4" s="23">
        <f>XIRR(B18:L18,B17:L17,0.2)</f>
        <v>0.12000002264976498</v>
      </c>
      <c r="C4" s="11"/>
      <c r="D4" s="11"/>
      <c r="E4" s="11"/>
      <c r="F4" s="11"/>
    </row>
    <row r="6" spans="1:12" x14ac:dyDescent="0.25">
      <c r="A6" s="5" t="s">
        <v>22</v>
      </c>
      <c r="B6" s="5"/>
      <c r="C6" s="5"/>
      <c r="D6" s="5"/>
      <c r="E6" s="5"/>
      <c r="F6" s="5"/>
      <c r="G6" s="10"/>
      <c r="H6" s="10"/>
      <c r="I6" s="10"/>
      <c r="J6" s="10"/>
      <c r="K6" s="10"/>
    </row>
    <row r="7" spans="1:12" x14ac:dyDescent="0.25">
      <c r="A7" s="6" t="s">
        <v>23</v>
      </c>
      <c r="B7" s="6">
        <v>1</v>
      </c>
      <c r="C7" s="6">
        <v>2</v>
      </c>
      <c r="D7" s="6">
        <v>3</v>
      </c>
      <c r="E7" s="6">
        <v>4</v>
      </c>
      <c r="F7" s="6">
        <f>1+E7</f>
        <v>5</v>
      </c>
      <c r="G7" s="6">
        <f t="shared" ref="G7:K7" si="0">1+F7</f>
        <v>6</v>
      </c>
      <c r="H7" s="6">
        <f t="shared" si="0"/>
        <v>7</v>
      </c>
      <c r="I7" s="6">
        <f t="shared" si="0"/>
        <v>8</v>
      </c>
      <c r="J7" s="6">
        <f t="shared" si="0"/>
        <v>9</v>
      </c>
      <c r="K7" s="6">
        <f t="shared" si="0"/>
        <v>10</v>
      </c>
    </row>
    <row r="8" spans="1:12" x14ac:dyDescent="0.25">
      <c r="A8" s="1" t="s">
        <v>24</v>
      </c>
      <c r="B8" s="2">
        <f>'Model Assumptions'!$B$10*$B$3</f>
        <v>198694.02881287615</v>
      </c>
      <c r="C8" s="2">
        <f>'Model Assumptions'!$B$10*$B$3</f>
        <v>198694.02881287615</v>
      </c>
      <c r="D8" s="2">
        <f>'Model Assumptions'!$B$10*$B$3</f>
        <v>198694.02881287615</v>
      </c>
      <c r="E8" s="2">
        <f>'Model Assumptions'!$B$10*$B$3</f>
        <v>198694.02881287615</v>
      </c>
      <c r="F8" s="2">
        <f>'Model Assumptions'!$B$10*$B$3</f>
        <v>198694.02881287615</v>
      </c>
      <c r="G8" s="2">
        <f>'Model Assumptions'!$B$10*$B$3</f>
        <v>198694.02881287615</v>
      </c>
      <c r="H8" s="2">
        <f>'Model Assumptions'!$B$10*$B$3</f>
        <v>198694.02881287615</v>
      </c>
      <c r="I8" s="2">
        <f>'Model Assumptions'!$B$10*$B$3</f>
        <v>198694.02881287615</v>
      </c>
      <c r="J8" s="2">
        <f>'Model Assumptions'!$B$10*$B$3</f>
        <v>198694.02881287615</v>
      </c>
      <c r="K8" s="2">
        <f>'Model Assumptions'!$B$10*$B$3</f>
        <v>198694.02881287615</v>
      </c>
    </row>
    <row r="9" spans="1:12" x14ac:dyDescent="0.25">
      <c r="A9" s="6" t="s">
        <v>40</v>
      </c>
      <c r="B9" s="7">
        <v>0</v>
      </c>
      <c r="C9" s="7">
        <f>B9*(1+'Model Assumptions'!$B$11)</f>
        <v>0</v>
      </c>
      <c r="D9" s="7">
        <f>C9*(1+'Model Assumptions'!$B$11)</f>
        <v>0</v>
      </c>
      <c r="E9" s="7">
        <f>D9*(1+'Model Assumptions'!$B$11)</f>
        <v>0</v>
      </c>
      <c r="F9" s="7">
        <f>E9*(1+'Model Assumptions'!$B$11)</f>
        <v>0</v>
      </c>
      <c r="G9" s="7">
        <f>F9*(1+'Model Assumptions'!$B$11)</f>
        <v>0</v>
      </c>
      <c r="H9" s="7">
        <f>G9*(1+'Model Assumptions'!$B$11)</f>
        <v>0</v>
      </c>
      <c r="I9" s="7">
        <f>H9*(1+'Model Assumptions'!$B$11)</f>
        <v>0</v>
      </c>
      <c r="J9" s="7">
        <f>I9*(1+'Model Assumptions'!$B$11)</f>
        <v>0</v>
      </c>
      <c r="K9" s="7">
        <f>J9*(1+'Model Assumptions'!$B$11)</f>
        <v>0</v>
      </c>
    </row>
    <row r="10" spans="1:12" x14ac:dyDescent="0.25">
      <c r="A10" s="22" t="s">
        <v>7</v>
      </c>
      <c r="B10" s="24">
        <f>'Model Assumptions'!$B$10*INDEX('Depreciation Factors'!$B$3:$B$18,MATCH(B7,'Depreciation Factors'!$A$3:$A$18,0))</f>
        <v>50000</v>
      </c>
      <c r="C10" s="24">
        <f>'Model Assumptions'!$B$10*INDEX('Depreciation Factors'!$B$3:$B$18,MATCH(C7,'Depreciation Factors'!$A$3:$A$18,0))</f>
        <v>95000</v>
      </c>
      <c r="D10" s="24">
        <f>'Model Assumptions'!$B$10*INDEX('Depreciation Factors'!$B$3:$B$18,MATCH(D7,'Depreciation Factors'!$A$3:$A$18,0))</f>
        <v>85500</v>
      </c>
      <c r="E10" s="24">
        <f>'Model Assumptions'!$B$10*INDEX('Depreciation Factors'!$B$3:$B$18,MATCH(E7,'Depreciation Factors'!$A$3:$A$18,0))</f>
        <v>76950</v>
      </c>
      <c r="F10" s="24">
        <f>'Model Assumptions'!$B$10*INDEX('Depreciation Factors'!$B$3:$B$18,MATCH(F7,'Depreciation Factors'!$A$3:$A$18,0))</f>
        <v>69255</v>
      </c>
      <c r="G10" s="24">
        <f>'Model Assumptions'!$B$10*INDEX('Depreciation Factors'!$B$3:$B$18,MATCH(G7,'Depreciation Factors'!$A$3:$A$18,0))</f>
        <v>62329.500000000007</v>
      </c>
      <c r="H10" s="24">
        <f>'Model Assumptions'!$B$10*INDEX('Depreciation Factors'!$B$3:$B$18,MATCH(H7,'Depreciation Factors'!$A$3:$A$18,0))</f>
        <v>59049</v>
      </c>
      <c r="I10" s="24">
        <f>'Model Assumptions'!$B$10*INDEX('Depreciation Factors'!$B$3:$B$18,MATCH(I7,'Depreciation Factors'!$A$3:$A$18,0))</f>
        <v>59049</v>
      </c>
      <c r="J10" s="24">
        <f>'Model Assumptions'!$B$10*INDEX('Depreciation Factors'!$B$3:$B$18,MATCH(J7,'Depreciation Factors'!$A$3:$A$18,0))</f>
        <v>59049</v>
      </c>
      <c r="K10" s="24">
        <f>'Model Assumptions'!$B$10*INDEX('Depreciation Factors'!$B$3:$B$18,MATCH(K7,'Depreciation Factors'!$A$3:$A$18,0))</f>
        <v>59049</v>
      </c>
    </row>
    <row r="11" spans="1:12" x14ac:dyDescent="0.25">
      <c r="A11" s="6" t="s">
        <v>25</v>
      </c>
      <c r="B11" s="7">
        <f>B22</f>
        <v>35000</v>
      </c>
      <c r="C11" s="7">
        <f t="shared" ref="C11:K11" si="1">C22</f>
        <v>32466.78740454224</v>
      </c>
      <c r="D11" s="7">
        <f t="shared" si="1"/>
        <v>29756.24992740243</v>
      </c>
      <c r="E11" s="7">
        <f t="shared" si="1"/>
        <v>26855.974826862839</v>
      </c>
      <c r="F11" s="7">
        <f t="shared" si="1"/>
        <v>23752.680469285471</v>
      </c>
      <c r="G11" s="7">
        <f t="shared" si="1"/>
        <v>20432.155506677689</v>
      </c>
      <c r="H11" s="7">
        <f t="shared" si="1"/>
        <v>16879.193796687363</v>
      </c>
      <c r="I11" s="7">
        <f t="shared" si="1"/>
        <v>13077.524766997713</v>
      </c>
      <c r="J11" s="7">
        <f t="shared" si="1"/>
        <v>9009.7389052297858</v>
      </c>
      <c r="K11" s="7">
        <f t="shared" si="1"/>
        <v>4657.2080331381067</v>
      </c>
    </row>
    <row r="12" spans="1:12" x14ac:dyDescent="0.25">
      <c r="A12" s="22" t="s">
        <v>26</v>
      </c>
      <c r="B12" s="24">
        <f>B8-B9-B10-B11</f>
        <v>113694.02881287615</v>
      </c>
      <c r="C12" s="24">
        <f t="shared" ref="C12:K12" si="2">C8-C9-C10-C11</f>
        <v>71227.24140833391</v>
      </c>
      <c r="D12" s="24">
        <f t="shared" si="2"/>
        <v>83437.778885473715</v>
      </c>
      <c r="E12" s="24">
        <f t="shared" si="2"/>
        <v>94888.053986013314</v>
      </c>
      <c r="F12" s="24">
        <f t="shared" si="2"/>
        <v>105686.34834359068</v>
      </c>
      <c r="G12" s="24">
        <f t="shared" si="2"/>
        <v>115932.37330619845</v>
      </c>
      <c r="H12" s="24">
        <f t="shared" si="2"/>
        <v>122765.83501618878</v>
      </c>
      <c r="I12" s="24">
        <f t="shared" si="2"/>
        <v>126567.50404587844</v>
      </c>
      <c r="J12" s="24">
        <f t="shared" si="2"/>
        <v>130635.28990764637</v>
      </c>
      <c r="K12" s="24">
        <f t="shared" si="2"/>
        <v>134987.82077973805</v>
      </c>
    </row>
    <row r="13" spans="1:12" x14ac:dyDescent="0.25">
      <c r="A13" s="6" t="s">
        <v>27</v>
      </c>
      <c r="B13" s="7">
        <f>B12*'Model Assumptions'!$B$9</f>
        <v>47478.626432257079</v>
      </c>
      <c r="C13" s="7">
        <f>C12*'Model Assumptions'!$B$9</f>
        <v>29744.496012120238</v>
      </c>
      <c r="D13" s="7">
        <f>D12*'Model Assumptions'!$B$9</f>
        <v>34843.616462573824</v>
      </c>
      <c r="E13" s="7">
        <f>E12*'Model Assumptions'!$B$9</f>
        <v>39625.251344559154</v>
      </c>
      <c r="F13" s="7">
        <f>F12*'Model Assumptions'!$B$9</f>
        <v>44134.619068283464</v>
      </c>
      <c r="G13" s="7">
        <f>G12*'Model Assumptions'!$B$9</f>
        <v>48413.35909266847</v>
      </c>
      <c r="H13" s="7">
        <f>H12*'Model Assumptions'!$B$9</f>
        <v>51267.012702760432</v>
      </c>
      <c r="I13" s="7">
        <f>I12*'Model Assumptions'!$B$9</f>
        <v>52854.58968955883</v>
      </c>
      <c r="J13" s="7">
        <f>J12*'Model Assumptions'!$B$9</f>
        <v>54553.297065433122</v>
      </c>
      <c r="K13" s="7">
        <f>K12*'Model Assumptions'!$B$9</f>
        <v>56370.913957618606</v>
      </c>
    </row>
    <row r="14" spans="1:12" x14ac:dyDescent="0.25">
      <c r="A14" s="22" t="s">
        <v>28</v>
      </c>
      <c r="B14" s="24">
        <f>B24</f>
        <v>71188.751363682357</v>
      </c>
      <c r="C14" s="24">
        <f t="shared" ref="C14:K14" si="3">C24</f>
        <v>71188.751363682357</v>
      </c>
      <c r="D14" s="24">
        <f t="shared" si="3"/>
        <v>71188.751363682357</v>
      </c>
      <c r="E14" s="24">
        <f t="shared" si="3"/>
        <v>71188.751363682357</v>
      </c>
      <c r="F14" s="24">
        <f t="shared" si="3"/>
        <v>71188.751363682357</v>
      </c>
      <c r="G14" s="24">
        <f t="shared" si="3"/>
        <v>71188.751363682357</v>
      </c>
      <c r="H14" s="24">
        <f t="shared" si="3"/>
        <v>71188.751363682357</v>
      </c>
      <c r="I14" s="24">
        <f t="shared" si="3"/>
        <v>71188.751363682357</v>
      </c>
      <c r="J14" s="24">
        <f t="shared" si="3"/>
        <v>71188.751363682357</v>
      </c>
      <c r="K14" s="24">
        <f t="shared" si="3"/>
        <v>71188.751363682357</v>
      </c>
    </row>
    <row r="16" spans="1:12" x14ac:dyDescent="0.25">
      <c r="A16" s="5" t="s">
        <v>33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6" t="s">
        <v>20</v>
      </c>
      <c r="B17" s="8">
        <v>39083</v>
      </c>
      <c r="C17" s="8">
        <v>39264</v>
      </c>
      <c r="D17" s="8">
        <f>DATE(2008,7,1)</f>
        <v>39630</v>
      </c>
      <c r="E17" s="8">
        <f>DATE(2009,7,1)</f>
        <v>39995</v>
      </c>
      <c r="F17" s="8">
        <f>DATE(2010,7,1)</f>
        <v>40360</v>
      </c>
      <c r="G17" s="8">
        <f>DATE(2011,7,1)</f>
        <v>40725</v>
      </c>
      <c r="H17" s="8">
        <v>41091</v>
      </c>
      <c r="I17" s="8">
        <v>41456</v>
      </c>
      <c r="J17" s="8">
        <v>41821</v>
      </c>
      <c r="K17" s="8">
        <v>42186</v>
      </c>
      <c r="L17" s="8">
        <v>42552</v>
      </c>
    </row>
    <row r="18" spans="1:12" x14ac:dyDescent="0.25">
      <c r="A18" s="3" t="s">
        <v>11</v>
      </c>
      <c r="B18" s="12">
        <f>-'Model Assumptions'!B3*'Model Assumptions'!B10</f>
        <v>-500000</v>
      </c>
      <c r="C18" s="2">
        <f>B8-B9-B13-B14</f>
        <v>80026.651016936725</v>
      </c>
      <c r="D18" s="2">
        <f t="shared" ref="D18:L18" si="4">C8-C9-C13-C14</f>
        <v>97760.781437073543</v>
      </c>
      <c r="E18" s="2">
        <f t="shared" si="4"/>
        <v>92661.660986619972</v>
      </c>
      <c r="F18" s="2">
        <f t="shared" si="4"/>
        <v>87880.026104634628</v>
      </c>
      <c r="G18" s="2">
        <f t="shared" si="4"/>
        <v>83370.658380910318</v>
      </c>
      <c r="H18" s="2">
        <f t="shared" si="4"/>
        <v>79091.918356525333</v>
      </c>
      <c r="I18" s="2">
        <f t="shared" si="4"/>
        <v>76238.264746433357</v>
      </c>
      <c r="J18" s="2">
        <f t="shared" si="4"/>
        <v>74650.687759634951</v>
      </c>
      <c r="K18" s="2">
        <f t="shared" si="4"/>
        <v>72951.980383760674</v>
      </c>
      <c r="L18" s="2">
        <f t="shared" si="4"/>
        <v>71134.363491575175</v>
      </c>
    </row>
    <row r="20" spans="1:12" x14ac:dyDescent="0.25">
      <c r="A20" s="5" t="s">
        <v>21</v>
      </c>
      <c r="B20" s="9"/>
      <c r="C20" s="9"/>
      <c r="D20" s="9"/>
      <c r="E20" s="9"/>
      <c r="F20" s="10"/>
      <c r="G20" s="10"/>
      <c r="H20" s="10"/>
      <c r="I20" s="10"/>
      <c r="J20" s="10"/>
      <c r="K20" s="10"/>
    </row>
    <row r="21" spans="1:12" customFormat="1" x14ac:dyDescent="0.25">
      <c r="A21" s="6" t="s">
        <v>32</v>
      </c>
      <c r="B21" s="6">
        <v>1</v>
      </c>
      <c r="C21" s="6">
        <v>2</v>
      </c>
      <c r="D21" s="6">
        <v>3</v>
      </c>
      <c r="E21" s="6">
        <v>4</v>
      </c>
      <c r="F21" s="6">
        <f>1+E21</f>
        <v>5</v>
      </c>
      <c r="G21" s="6">
        <f t="shared" ref="G21:K21" si="5">1+F21</f>
        <v>6</v>
      </c>
      <c r="H21" s="6">
        <f t="shared" si="5"/>
        <v>7</v>
      </c>
      <c r="I21" s="6">
        <f t="shared" si="5"/>
        <v>8</v>
      </c>
      <c r="J21" s="6">
        <f t="shared" si="5"/>
        <v>9</v>
      </c>
      <c r="K21" s="6">
        <f t="shared" si="5"/>
        <v>10</v>
      </c>
    </row>
    <row r="22" spans="1:12" customFormat="1" x14ac:dyDescent="0.25">
      <c r="A22" s="1" t="s">
        <v>29</v>
      </c>
      <c r="B22" s="2">
        <f>'Model Assumptions'!B6*'Model Assumptions'!B4*'Model Assumptions'!B10</f>
        <v>35000</v>
      </c>
      <c r="C22" s="2">
        <f>'Model Assumptions'!$B$6*B25</f>
        <v>32466.78740454224</v>
      </c>
      <c r="D22" s="2">
        <f>'Model Assumptions'!$B$6*C25</f>
        <v>29756.24992740243</v>
      </c>
      <c r="E22" s="2">
        <f>'Model Assumptions'!$B$6*D25</f>
        <v>26855.974826862839</v>
      </c>
      <c r="F22" s="2">
        <f>'Model Assumptions'!$B$6*E25</f>
        <v>23752.680469285471</v>
      </c>
      <c r="G22" s="2">
        <f>'Model Assumptions'!$B$6*F25</f>
        <v>20432.155506677689</v>
      </c>
      <c r="H22" s="2">
        <f>'Model Assumptions'!$B$6*G25</f>
        <v>16879.193796687363</v>
      </c>
      <c r="I22" s="2">
        <f>'Model Assumptions'!$B$6*H25</f>
        <v>13077.524766997713</v>
      </c>
      <c r="J22" s="2">
        <f>'Model Assumptions'!$B$6*I25</f>
        <v>9009.7389052297858</v>
      </c>
      <c r="K22" s="2">
        <f>'Model Assumptions'!$B$6*J25</f>
        <v>4657.2080331381067</v>
      </c>
    </row>
    <row r="23" spans="1:12" customFormat="1" x14ac:dyDescent="0.25">
      <c r="A23" s="6" t="s">
        <v>30</v>
      </c>
      <c r="B23" s="7">
        <f>B24-B22</f>
        <v>36188.751363682357</v>
      </c>
      <c r="C23" s="7">
        <f t="shared" ref="C23:F23" si="6">C24-C22</f>
        <v>38721.963959140121</v>
      </c>
      <c r="D23" s="7">
        <f t="shared" si="6"/>
        <v>41432.501436279927</v>
      </c>
      <c r="E23" s="7">
        <f t="shared" si="6"/>
        <v>44332.776536819518</v>
      </c>
      <c r="F23" s="7">
        <f t="shared" si="6"/>
        <v>47436.070894396886</v>
      </c>
      <c r="G23" s="7">
        <f t="shared" ref="G23" si="7">G24-G22</f>
        <v>50756.595857004664</v>
      </c>
      <c r="H23" s="7">
        <f t="shared" ref="H23" si="8">H24-H22</f>
        <v>54309.55756699499</v>
      </c>
      <c r="I23" s="7">
        <f t="shared" ref="I23" si="9">I24-I22</f>
        <v>58111.226596684646</v>
      </c>
      <c r="J23" s="7">
        <f t="shared" ref="J23" si="10">J24-J22</f>
        <v>62179.012458452569</v>
      </c>
      <c r="K23" s="7">
        <f t="shared" ref="K23" si="11">K24-K22</f>
        <v>66531.543330544257</v>
      </c>
    </row>
    <row r="24" spans="1:12" x14ac:dyDescent="0.25">
      <c r="A24" s="1" t="s">
        <v>31</v>
      </c>
      <c r="B24" s="2">
        <f>-PMT('Model Assumptions'!$B$6,10,'Model Assumptions'!$B$4*'Model Assumptions'!$B$10,,0)</f>
        <v>71188.751363682357</v>
      </c>
      <c r="C24" s="2">
        <f>-PMT('Model Assumptions'!$B$6,10,'Model Assumptions'!$B$4*'Model Assumptions'!$B$10,,0)</f>
        <v>71188.751363682357</v>
      </c>
      <c r="D24" s="2">
        <f>-PMT('Model Assumptions'!$B$6,10,'Model Assumptions'!$B$4*'Model Assumptions'!$B$10,,0)</f>
        <v>71188.751363682357</v>
      </c>
      <c r="E24" s="2">
        <f>-PMT('Model Assumptions'!$B$6,10,'Model Assumptions'!$B$4*'Model Assumptions'!$B$10,,0)</f>
        <v>71188.751363682357</v>
      </c>
      <c r="F24" s="2">
        <f>-PMT('Model Assumptions'!$B$6,10,'Model Assumptions'!$B$4*'Model Assumptions'!$B$10,,0)</f>
        <v>71188.751363682357</v>
      </c>
      <c r="G24" s="2">
        <f>-PMT('Model Assumptions'!$B$6,10,'Model Assumptions'!$B$4*'Model Assumptions'!$B$10,,0)</f>
        <v>71188.751363682357</v>
      </c>
      <c r="H24" s="2">
        <f>-PMT('Model Assumptions'!$B$6,10,'Model Assumptions'!$B$4*'Model Assumptions'!$B$10,,0)</f>
        <v>71188.751363682357</v>
      </c>
      <c r="I24" s="2">
        <f>-PMT('Model Assumptions'!$B$6,10,'Model Assumptions'!$B$4*'Model Assumptions'!$B$10,,0)</f>
        <v>71188.751363682357</v>
      </c>
      <c r="J24" s="2">
        <f>-PMT('Model Assumptions'!$B$6,10,'Model Assumptions'!$B$4*'Model Assumptions'!$B$10,,0)</f>
        <v>71188.751363682357</v>
      </c>
      <c r="K24" s="2">
        <f>-PMT('Model Assumptions'!$B$6,10,'Model Assumptions'!$B$4*'Model Assumptions'!$B$10,,0)</f>
        <v>71188.751363682357</v>
      </c>
    </row>
    <row r="25" spans="1:12" x14ac:dyDescent="0.25">
      <c r="A25" s="6" t="s">
        <v>37</v>
      </c>
      <c r="B25" s="7">
        <f>'Model Assumptions'!B4*'Model Assumptions'!B10-'10 Year Term'!B23</f>
        <v>463811.24863631767</v>
      </c>
      <c r="C25" s="7">
        <f>B25-C23</f>
        <v>425089.28467717755</v>
      </c>
      <c r="D25" s="7">
        <f t="shared" ref="D25:K25" si="12">C25-D23</f>
        <v>383656.78324089764</v>
      </c>
      <c r="E25" s="7">
        <f t="shared" si="12"/>
        <v>339324.00670407811</v>
      </c>
      <c r="F25" s="7">
        <f t="shared" si="12"/>
        <v>291887.93580968125</v>
      </c>
      <c r="G25" s="7">
        <f t="shared" si="12"/>
        <v>241131.33995267659</v>
      </c>
      <c r="H25" s="7">
        <f t="shared" si="12"/>
        <v>186821.78238568158</v>
      </c>
      <c r="I25" s="7">
        <f t="shared" si="12"/>
        <v>128710.55578899694</v>
      </c>
      <c r="J25" s="7">
        <f t="shared" si="12"/>
        <v>66531.543330544373</v>
      </c>
      <c r="K25" s="7">
        <f t="shared" si="12"/>
        <v>1.1641532182693481E-10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workbookViewId="0">
      <selection activeCell="D1" sqref="D1"/>
    </sheetView>
  </sheetViews>
  <sheetFormatPr defaultColWidth="8.85546875" defaultRowHeight="15.75" x14ac:dyDescent="0.25"/>
  <cols>
    <col min="1" max="1" width="32.28515625" style="1" customWidth="1"/>
    <col min="2" max="23" width="9.7109375" style="1" customWidth="1"/>
    <col min="24" max="16384" width="8.85546875" style="1"/>
  </cols>
  <sheetData>
    <row r="1" spans="1:17" x14ac:dyDescent="0.25">
      <c r="D1" s="1" t="s">
        <v>41</v>
      </c>
    </row>
    <row r="2" spans="1:17" x14ac:dyDescent="0.25">
      <c r="A2" s="5" t="s">
        <v>38</v>
      </c>
      <c r="B2" s="5"/>
    </row>
    <row r="3" spans="1:17" x14ac:dyDescent="0.25">
      <c r="A3" s="6" t="s">
        <v>8</v>
      </c>
      <c r="B3" s="20">
        <v>0.14631171559015735</v>
      </c>
      <c r="C3" s="11"/>
      <c r="D3" s="11"/>
      <c r="E3" s="11"/>
      <c r="F3" s="11"/>
    </row>
    <row r="4" spans="1:17" x14ac:dyDescent="0.25">
      <c r="A4" s="22" t="s">
        <v>19</v>
      </c>
      <c r="B4" s="23">
        <f>XIRR(B18:Q18,B17:Q17,0.2)</f>
        <v>0.1199999392032623</v>
      </c>
      <c r="C4" s="11"/>
      <c r="D4" s="11"/>
      <c r="E4" s="11"/>
      <c r="F4" s="11"/>
    </row>
    <row r="6" spans="1:17" x14ac:dyDescent="0.25">
      <c r="A6" s="5" t="s">
        <v>22</v>
      </c>
      <c r="B6" s="5"/>
      <c r="C6" s="5"/>
      <c r="D6" s="5"/>
      <c r="E6" s="5"/>
      <c r="F6" s="5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x14ac:dyDescent="0.25">
      <c r="A7" s="6" t="s">
        <v>23</v>
      </c>
      <c r="B7" s="6">
        <v>1</v>
      </c>
      <c r="C7" s="6">
        <v>2</v>
      </c>
      <c r="D7" s="6">
        <v>3</v>
      </c>
      <c r="E7" s="6">
        <v>4</v>
      </c>
      <c r="F7" s="6">
        <f>1+E7</f>
        <v>5</v>
      </c>
      <c r="G7" s="6">
        <f t="shared" ref="G7:K7" si="0">1+F7</f>
        <v>6</v>
      </c>
      <c r="H7" s="6">
        <f t="shared" si="0"/>
        <v>7</v>
      </c>
      <c r="I7" s="6">
        <f t="shared" si="0"/>
        <v>8</v>
      </c>
      <c r="J7" s="6">
        <f t="shared" si="0"/>
        <v>9</v>
      </c>
      <c r="K7" s="6">
        <f t="shared" si="0"/>
        <v>10</v>
      </c>
      <c r="L7" s="6">
        <f t="shared" ref="L7:P7" si="1">1+K7</f>
        <v>11</v>
      </c>
      <c r="M7" s="6">
        <f t="shared" si="1"/>
        <v>12</v>
      </c>
      <c r="N7" s="6">
        <f t="shared" si="1"/>
        <v>13</v>
      </c>
      <c r="O7" s="6">
        <f t="shared" si="1"/>
        <v>14</v>
      </c>
      <c r="P7" s="6">
        <f t="shared" si="1"/>
        <v>15</v>
      </c>
    </row>
    <row r="8" spans="1:17" x14ac:dyDescent="0.25">
      <c r="A8" s="1" t="s">
        <v>24</v>
      </c>
      <c r="B8" s="2">
        <f>'Model Assumptions'!$B$10*$B$3</f>
        <v>146311.71559015734</v>
      </c>
      <c r="C8" s="2">
        <f>'Model Assumptions'!$B$10*$B$3</f>
        <v>146311.71559015734</v>
      </c>
      <c r="D8" s="2">
        <f>'Model Assumptions'!$B$10*$B$3</f>
        <v>146311.71559015734</v>
      </c>
      <c r="E8" s="2">
        <f>'Model Assumptions'!$B$10*$B$3</f>
        <v>146311.71559015734</v>
      </c>
      <c r="F8" s="2">
        <f>'Model Assumptions'!$B$10*$B$3</f>
        <v>146311.71559015734</v>
      </c>
      <c r="G8" s="2">
        <f>'Model Assumptions'!$B$10*$B$3</f>
        <v>146311.71559015734</v>
      </c>
      <c r="H8" s="2">
        <f>'Model Assumptions'!$B$10*$B$3</f>
        <v>146311.71559015734</v>
      </c>
      <c r="I8" s="2">
        <f>'Model Assumptions'!$B$10*$B$3</f>
        <v>146311.71559015734</v>
      </c>
      <c r="J8" s="2">
        <f>'Model Assumptions'!$B$10*$B$3</f>
        <v>146311.71559015734</v>
      </c>
      <c r="K8" s="2">
        <f>'Model Assumptions'!$B$10*$B$3</f>
        <v>146311.71559015734</v>
      </c>
      <c r="L8" s="2">
        <f>'Model Assumptions'!$B$10*$B$3</f>
        <v>146311.71559015734</v>
      </c>
      <c r="M8" s="2">
        <f>'Model Assumptions'!$B$10*$B$3</f>
        <v>146311.71559015734</v>
      </c>
      <c r="N8" s="2">
        <f>'Model Assumptions'!$B$10*$B$3</f>
        <v>146311.71559015734</v>
      </c>
      <c r="O8" s="2">
        <f>'Model Assumptions'!$B$10*$B$3</f>
        <v>146311.71559015734</v>
      </c>
      <c r="P8" s="2">
        <f>'Model Assumptions'!$B$10*$B$3</f>
        <v>146311.71559015734</v>
      </c>
    </row>
    <row r="9" spans="1:17" x14ac:dyDescent="0.25">
      <c r="A9" s="6" t="s">
        <v>40</v>
      </c>
      <c r="B9" s="7">
        <v>0</v>
      </c>
      <c r="C9" s="7">
        <f>B9*(1+'Model Assumptions'!$B$11)</f>
        <v>0</v>
      </c>
      <c r="D9" s="7">
        <f>C9*(1+'Model Assumptions'!$B$11)</f>
        <v>0</v>
      </c>
      <c r="E9" s="7">
        <f>D9*(1+'Model Assumptions'!$B$11)</f>
        <v>0</v>
      </c>
      <c r="F9" s="7">
        <f>E9*(1+'Model Assumptions'!$B$11)</f>
        <v>0</v>
      </c>
      <c r="G9" s="7">
        <f>F9*(1+'Model Assumptions'!$B$11)</f>
        <v>0</v>
      </c>
      <c r="H9" s="7">
        <f>G9*(1+'Model Assumptions'!$B$11)</f>
        <v>0</v>
      </c>
      <c r="I9" s="7">
        <f>H9*(1+'Model Assumptions'!$B$11)</f>
        <v>0</v>
      </c>
      <c r="J9" s="7">
        <f>I9*(1+'Model Assumptions'!$B$11)</f>
        <v>0</v>
      </c>
      <c r="K9" s="7">
        <f>J9*(1+'Model Assumptions'!$B$11)</f>
        <v>0</v>
      </c>
      <c r="L9" s="7">
        <f>K9*(1+'Model Assumptions'!$B$11)</f>
        <v>0</v>
      </c>
      <c r="M9" s="7">
        <f>L9*(1+'Model Assumptions'!$B$11)</f>
        <v>0</v>
      </c>
      <c r="N9" s="7">
        <f>M9*(1+'Model Assumptions'!$B$11)</f>
        <v>0</v>
      </c>
      <c r="O9" s="7">
        <f>N9*(1+'Model Assumptions'!$B$11)</f>
        <v>0</v>
      </c>
      <c r="P9" s="7">
        <f>O9*(1+'Model Assumptions'!$B$11)</f>
        <v>0</v>
      </c>
    </row>
    <row r="10" spans="1:17" x14ac:dyDescent="0.25">
      <c r="A10" s="22" t="s">
        <v>7</v>
      </c>
      <c r="B10" s="24">
        <f>'Model Assumptions'!$B$10*INDEX('Depreciation Factors'!$B$3:$B$18,MATCH(B7,'Depreciation Factors'!$A$3:$A$18,0))</f>
        <v>50000</v>
      </c>
      <c r="C10" s="24">
        <f>'Model Assumptions'!$B$10*INDEX('Depreciation Factors'!$B$3:$B$18,MATCH(C7,'Depreciation Factors'!$A$3:$A$18,0))</f>
        <v>95000</v>
      </c>
      <c r="D10" s="24">
        <f>'Model Assumptions'!$B$10*INDEX('Depreciation Factors'!$B$3:$B$18,MATCH(D7,'Depreciation Factors'!$A$3:$A$18,0))</f>
        <v>85500</v>
      </c>
      <c r="E10" s="24">
        <f>'Model Assumptions'!$B$10*INDEX('Depreciation Factors'!$B$3:$B$18,MATCH(E7,'Depreciation Factors'!$A$3:$A$18,0))</f>
        <v>76950</v>
      </c>
      <c r="F10" s="24">
        <f>'Model Assumptions'!$B$10*INDEX('Depreciation Factors'!$B$3:$B$18,MATCH(F7,'Depreciation Factors'!$A$3:$A$18,0))</f>
        <v>69255</v>
      </c>
      <c r="G10" s="24">
        <f>'Model Assumptions'!$B$10*INDEX('Depreciation Factors'!$B$3:$B$18,MATCH(G7,'Depreciation Factors'!$A$3:$A$18,0))</f>
        <v>62329.500000000007</v>
      </c>
      <c r="H10" s="24">
        <f>'Model Assumptions'!$B$10*INDEX('Depreciation Factors'!$B$3:$B$18,MATCH(H7,'Depreciation Factors'!$A$3:$A$18,0))</f>
        <v>59049</v>
      </c>
      <c r="I10" s="24">
        <f>'Model Assumptions'!$B$10*INDEX('Depreciation Factors'!$B$3:$B$18,MATCH(I7,'Depreciation Factors'!$A$3:$A$18,0))</f>
        <v>59049</v>
      </c>
      <c r="J10" s="24">
        <f>'Model Assumptions'!$B$10*INDEX('Depreciation Factors'!$B$3:$B$18,MATCH(J7,'Depreciation Factors'!$A$3:$A$18,0))</f>
        <v>59049</v>
      </c>
      <c r="K10" s="24">
        <f>'Model Assumptions'!$B$10*INDEX('Depreciation Factors'!$B$3:$B$18,MATCH(K7,'Depreciation Factors'!$A$3:$A$18,0))</f>
        <v>59049</v>
      </c>
      <c r="L10" s="24">
        <f>'Model Assumptions'!$B$10*INDEX('Depreciation Factors'!$B$3:$B$18,MATCH(L7,'Depreciation Factors'!$A$3:$A$18,0))</f>
        <v>59048.999999999993</v>
      </c>
      <c r="M10" s="24">
        <f>'Model Assumptions'!$B$10*INDEX('Depreciation Factors'!$B$3:$B$18,MATCH(M7,'Depreciation Factors'!$A$3:$A$18,0))</f>
        <v>59048.999999999978</v>
      </c>
      <c r="N10" s="24">
        <f>'Model Assumptions'!$B$10*INDEX('Depreciation Factors'!$B$3:$B$18,MATCH(N7,'Depreciation Factors'!$A$3:$A$18,0))</f>
        <v>59048.999999999985</v>
      </c>
      <c r="O10" s="24">
        <f>'Model Assumptions'!$B$10*INDEX('Depreciation Factors'!$B$3:$B$18,MATCH(O7,'Depreciation Factors'!$A$3:$A$18,0))</f>
        <v>59048.999999999993</v>
      </c>
      <c r="P10" s="24">
        <f>'Model Assumptions'!$B$10*INDEX('Depreciation Factors'!$B$3:$B$18,MATCH(P7,'Depreciation Factors'!$A$3:$A$18,0))</f>
        <v>59048.999999999978</v>
      </c>
    </row>
    <row r="11" spans="1:17" x14ac:dyDescent="0.25">
      <c r="A11" s="6" t="s">
        <v>25</v>
      </c>
      <c r="B11" s="7">
        <f>B22</f>
        <v>35000</v>
      </c>
      <c r="C11" s="7">
        <f t="shared" ref="C11:K11" si="2">C22</f>
        <v>33607.18813546477</v>
      </c>
      <c r="D11" s="7">
        <f t="shared" si="2"/>
        <v>32116.879440412078</v>
      </c>
      <c r="E11" s="7">
        <f t="shared" si="2"/>
        <v>30522.249136705694</v>
      </c>
      <c r="F11" s="7">
        <f t="shared" si="2"/>
        <v>28815.994711739866</v>
      </c>
      <c r="G11" s="7">
        <f t="shared" si="2"/>
        <v>26990.302477026427</v>
      </c>
      <c r="H11" s="7">
        <f t="shared" si="2"/>
        <v>25036.811785883045</v>
      </c>
      <c r="I11" s="7">
        <f t="shared" si="2"/>
        <v>22946.576746359628</v>
      </c>
      <c r="J11" s="7">
        <f t="shared" si="2"/>
        <v>20710.025254069573</v>
      </c>
      <c r="K11" s="7">
        <f t="shared" si="2"/>
        <v>18316.915157319214</v>
      </c>
      <c r="L11" s="7">
        <f t="shared" ref="L11:P11" si="3">L22</f>
        <v>15756.28735379633</v>
      </c>
      <c r="M11" s="7">
        <f t="shared" si="3"/>
        <v>13016.415604026843</v>
      </c>
      <c r="N11" s="7">
        <f t="shared" si="3"/>
        <v>10084.75283177349</v>
      </c>
      <c r="O11" s="7">
        <f t="shared" si="3"/>
        <v>6947.8736654624054</v>
      </c>
      <c r="P11" s="7">
        <f t="shared" si="3"/>
        <v>3591.4129575095444</v>
      </c>
    </row>
    <row r="12" spans="1:17" x14ac:dyDescent="0.25">
      <c r="A12" s="22" t="s">
        <v>26</v>
      </c>
      <c r="B12" s="24">
        <f>B8-B9-B10-B11</f>
        <v>61311.715590157342</v>
      </c>
      <c r="C12" s="24">
        <f t="shared" ref="C12:O12" si="4">C8-C9-C10-C11</f>
        <v>17704.527454692572</v>
      </c>
      <c r="D12" s="24">
        <f t="shared" si="4"/>
        <v>28694.836149745264</v>
      </c>
      <c r="E12" s="24">
        <f t="shared" si="4"/>
        <v>38839.466453451649</v>
      </c>
      <c r="F12" s="24">
        <f t="shared" si="4"/>
        <v>48240.720878417473</v>
      </c>
      <c r="G12" s="24">
        <f t="shared" si="4"/>
        <v>56991.913113130911</v>
      </c>
      <c r="H12" s="24">
        <f t="shared" si="4"/>
        <v>62225.903804274298</v>
      </c>
      <c r="I12" s="24">
        <f t="shared" si="4"/>
        <v>64316.138843797715</v>
      </c>
      <c r="J12" s="24">
        <f t="shared" si="4"/>
        <v>66552.690336087777</v>
      </c>
      <c r="K12" s="24">
        <f t="shared" si="4"/>
        <v>68945.800432838121</v>
      </c>
      <c r="L12" s="24">
        <f t="shared" si="4"/>
        <v>71506.428236361011</v>
      </c>
      <c r="M12" s="24">
        <f t="shared" si="4"/>
        <v>74246.299986130529</v>
      </c>
      <c r="N12" s="24">
        <f t="shared" si="4"/>
        <v>77177.962758383859</v>
      </c>
      <c r="O12" s="24">
        <f t="shared" si="4"/>
        <v>80314.841924694934</v>
      </c>
      <c r="P12" s="24">
        <f>P8-P9-P10-P11</f>
        <v>83671.302632647828</v>
      </c>
    </row>
    <row r="13" spans="1:17" x14ac:dyDescent="0.25">
      <c r="A13" s="6" t="s">
        <v>27</v>
      </c>
      <c r="B13" s="7">
        <f>B12*'Model Assumptions'!$B$9</f>
        <v>25603.772430449706</v>
      </c>
      <c r="C13" s="7">
        <f>C12*'Model Assumptions'!$B$9</f>
        <v>7393.4106650796175</v>
      </c>
      <c r="D13" s="7">
        <f>D12*'Model Assumptions'!$B$9</f>
        <v>11982.963576133621</v>
      </c>
      <c r="E13" s="7">
        <f>E12*'Model Assumptions'!$B$9</f>
        <v>16219.361190961408</v>
      </c>
      <c r="F13" s="7">
        <f>F12*'Model Assumptions'!$B$9</f>
        <v>20145.325038827134</v>
      </c>
      <c r="G13" s="7">
        <f>G12*'Model Assumptions'!$B$9</f>
        <v>23799.822916043468</v>
      </c>
      <c r="H13" s="7">
        <f>H12*'Model Assumptions'!$B$9</f>
        <v>25985.537428664946</v>
      </c>
      <c r="I13" s="7">
        <f>I12*'Model Assumptions'!$B$9</f>
        <v>26858.419581169925</v>
      </c>
      <c r="J13" s="7">
        <f>J12*'Model Assumptions'!$B$9</f>
        <v>27792.403484350252</v>
      </c>
      <c r="K13" s="7">
        <f>K12*'Model Assumptions'!$B$9</f>
        <v>28791.766260753197</v>
      </c>
      <c r="L13" s="7">
        <f>L12*'Model Assumptions'!$B$9</f>
        <v>29861.084431504358</v>
      </c>
      <c r="M13" s="7">
        <f>M12*'Model Assumptions'!$B$9</f>
        <v>31005.254874208105</v>
      </c>
      <c r="N13" s="7">
        <f>N12*'Model Assumptions'!$B$9</f>
        <v>32229.517247901098</v>
      </c>
      <c r="O13" s="7">
        <f>O12*'Model Assumptions'!$B$9</f>
        <v>33539.477987752602</v>
      </c>
      <c r="P13" s="7">
        <f>P12*'Model Assumptions'!$B$9</f>
        <v>34941.13597939373</v>
      </c>
    </row>
    <row r="14" spans="1:17" x14ac:dyDescent="0.25">
      <c r="A14" s="22" t="s">
        <v>28</v>
      </c>
      <c r="B14" s="24">
        <f>B24</f>
        <v>54897.312350503278</v>
      </c>
      <c r="C14" s="24">
        <f t="shared" ref="C14:K14" si="5">C24</f>
        <v>54897.312350503278</v>
      </c>
      <c r="D14" s="24">
        <f t="shared" si="5"/>
        <v>54897.312350503278</v>
      </c>
      <c r="E14" s="24">
        <f t="shared" si="5"/>
        <v>54897.312350503278</v>
      </c>
      <c r="F14" s="24">
        <f t="shared" si="5"/>
        <v>54897.312350503278</v>
      </c>
      <c r="G14" s="24">
        <f t="shared" si="5"/>
        <v>54897.312350503278</v>
      </c>
      <c r="H14" s="24">
        <f t="shared" si="5"/>
        <v>54897.312350503278</v>
      </c>
      <c r="I14" s="24">
        <f t="shared" si="5"/>
        <v>54897.312350503278</v>
      </c>
      <c r="J14" s="24">
        <f t="shared" si="5"/>
        <v>54897.312350503278</v>
      </c>
      <c r="K14" s="24">
        <f t="shared" si="5"/>
        <v>54897.312350503278</v>
      </c>
      <c r="L14" s="24">
        <f t="shared" ref="L14:P14" si="6">L24</f>
        <v>54897.312350503278</v>
      </c>
      <c r="M14" s="24">
        <f t="shared" si="6"/>
        <v>54897.312350503278</v>
      </c>
      <c r="N14" s="24">
        <f t="shared" si="6"/>
        <v>54897.312350503278</v>
      </c>
      <c r="O14" s="24">
        <f t="shared" si="6"/>
        <v>54897.312350503278</v>
      </c>
      <c r="P14" s="24">
        <f t="shared" si="6"/>
        <v>54897.312350503278</v>
      </c>
    </row>
    <row r="16" spans="1:17" x14ac:dyDescent="0.25">
      <c r="A16" s="5" t="s">
        <v>33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6" t="s">
        <v>20</v>
      </c>
      <c r="B17" s="8">
        <v>39083</v>
      </c>
      <c r="C17" s="8">
        <v>39264</v>
      </c>
      <c r="D17" s="8">
        <f>DATE(2008,7,1)</f>
        <v>39630</v>
      </c>
      <c r="E17" s="8">
        <f>DATE(2009,7,1)</f>
        <v>39995</v>
      </c>
      <c r="F17" s="8">
        <f>DATE(2010,7,1)</f>
        <v>40360</v>
      </c>
      <c r="G17" s="8">
        <f>DATE(2011,7,1)</f>
        <v>40725</v>
      </c>
      <c r="H17" s="8">
        <v>41091</v>
      </c>
      <c r="I17" s="8">
        <v>41456</v>
      </c>
      <c r="J17" s="8">
        <v>41821</v>
      </c>
      <c r="K17" s="8">
        <v>42186</v>
      </c>
      <c r="L17" s="8">
        <v>42552</v>
      </c>
      <c r="M17" s="8">
        <v>42917</v>
      </c>
      <c r="N17" s="8">
        <v>43282</v>
      </c>
      <c r="O17" s="8">
        <v>43647</v>
      </c>
      <c r="P17" s="8">
        <v>44013</v>
      </c>
      <c r="Q17" s="8">
        <v>44378</v>
      </c>
    </row>
    <row r="18" spans="1:17" x14ac:dyDescent="0.25">
      <c r="A18" s="3" t="s">
        <v>11</v>
      </c>
      <c r="B18" s="12">
        <f>-'Model Assumptions'!B3*'Model Assumptions'!B10</f>
        <v>-500000</v>
      </c>
      <c r="C18" s="2">
        <f>B8-B9-B13-B14</f>
        <v>65810.630809204362</v>
      </c>
      <c r="D18" s="2">
        <f t="shared" ref="D18:P18" si="7">C8-C9-C13-C14</f>
        <v>84020.992574574426</v>
      </c>
      <c r="E18" s="2">
        <f t="shared" si="7"/>
        <v>79431.439663520432</v>
      </c>
      <c r="F18" s="2">
        <f t="shared" si="7"/>
        <v>75195.042048692645</v>
      </c>
      <c r="G18" s="2">
        <f t="shared" si="7"/>
        <v>71269.078200826916</v>
      </c>
      <c r="H18" s="2">
        <f t="shared" si="7"/>
        <v>67614.5803236106</v>
      </c>
      <c r="I18" s="2">
        <f t="shared" si="7"/>
        <v>65428.865810989118</v>
      </c>
      <c r="J18" s="2">
        <f t="shared" si="7"/>
        <v>64555.983658484132</v>
      </c>
      <c r="K18" s="2">
        <f t="shared" si="7"/>
        <v>63621.999755303819</v>
      </c>
      <c r="L18" s="2">
        <f t="shared" si="7"/>
        <v>62622.636978900868</v>
      </c>
      <c r="M18" s="2">
        <f t="shared" si="7"/>
        <v>61553.318808149699</v>
      </c>
      <c r="N18" s="2">
        <f t="shared" si="7"/>
        <v>60409.148365445966</v>
      </c>
      <c r="O18" s="2">
        <f t="shared" si="7"/>
        <v>59184.88599175297</v>
      </c>
      <c r="P18" s="2">
        <f t="shared" si="7"/>
        <v>57874.925251901463</v>
      </c>
      <c r="Q18" s="2">
        <f>P8-P9-P13-P14</f>
        <v>56473.267260260334</v>
      </c>
    </row>
    <row r="20" spans="1:17" x14ac:dyDescent="0.25">
      <c r="A20" s="5" t="s">
        <v>21</v>
      </c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7" customFormat="1" x14ac:dyDescent="0.25">
      <c r="A21" s="6" t="s">
        <v>32</v>
      </c>
      <c r="B21" s="6">
        <v>1</v>
      </c>
      <c r="C21" s="6">
        <v>2</v>
      </c>
      <c r="D21" s="6">
        <v>3</v>
      </c>
      <c r="E21" s="6">
        <v>4</v>
      </c>
      <c r="F21" s="6">
        <f>1+E21</f>
        <v>5</v>
      </c>
      <c r="G21" s="6">
        <f t="shared" ref="G21:K21" si="8">1+F21</f>
        <v>6</v>
      </c>
      <c r="H21" s="6">
        <f t="shared" si="8"/>
        <v>7</v>
      </c>
      <c r="I21" s="6">
        <f t="shared" si="8"/>
        <v>8</v>
      </c>
      <c r="J21" s="6">
        <f t="shared" si="8"/>
        <v>9</v>
      </c>
      <c r="K21" s="6">
        <f t="shared" si="8"/>
        <v>10</v>
      </c>
      <c r="L21" s="6">
        <f t="shared" ref="L21:P21" si="9">1+K21</f>
        <v>11</v>
      </c>
      <c r="M21" s="6">
        <f t="shared" si="9"/>
        <v>12</v>
      </c>
      <c r="N21" s="6">
        <f t="shared" si="9"/>
        <v>13</v>
      </c>
      <c r="O21" s="6">
        <f t="shared" si="9"/>
        <v>14</v>
      </c>
      <c r="P21" s="6">
        <f t="shared" si="9"/>
        <v>15</v>
      </c>
    </row>
    <row r="22" spans="1:17" customFormat="1" x14ac:dyDescent="0.25">
      <c r="A22" s="1" t="s">
        <v>29</v>
      </c>
      <c r="B22" s="2">
        <f>'Model Assumptions'!B6*'Model Assumptions'!B4*'Model Assumptions'!B10</f>
        <v>35000</v>
      </c>
      <c r="C22" s="2">
        <f>'Model Assumptions'!$B$6*B25</f>
        <v>33607.18813546477</v>
      </c>
      <c r="D22" s="2">
        <f>'Model Assumptions'!$B$6*C25</f>
        <v>32116.879440412078</v>
      </c>
      <c r="E22" s="2">
        <f>'Model Assumptions'!$B$6*D25</f>
        <v>30522.249136705694</v>
      </c>
      <c r="F22" s="2">
        <f>'Model Assumptions'!$B$6*E25</f>
        <v>28815.994711739866</v>
      </c>
      <c r="G22" s="2">
        <f>'Model Assumptions'!$B$6*F25</f>
        <v>26990.302477026427</v>
      </c>
      <c r="H22" s="2">
        <f>'Model Assumptions'!$B$6*G25</f>
        <v>25036.811785883045</v>
      </c>
      <c r="I22" s="2">
        <f>'Model Assumptions'!$B$6*H25</f>
        <v>22946.576746359628</v>
      </c>
      <c r="J22" s="2">
        <f>'Model Assumptions'!$B$6*I25</f>
        <v>20710.025254069573</v>
      </c>
      <c r="K22" s="2">
        <f>'Model Assumptions'!$B$6*J25</f>
        <v>18316.915157319214</v>
      </c>
      <c r="L22" s="2">
        <f>'Model Assumptions'!$B$6*K25</f>
        <v>15756.28735379633</v>
      </c>
      <c r="M22" s="2">
        <f>'Model Assumptions'!$B$6*L25</f>
        <v>13016.415604026843</v>
      </c>
      <c r="N22" s="2">
        <f>'Model Assumptions'!$B$6*M25</f>
        <v>10084.75283177349</v>
      </c>
      <c r="O22" s="2">
        <f>'Model Assumptions'!$B$6*N25</f>
        <v>6947.8736654624054</v>
      </c>
      <c r="P22" s="2">
        <f>'Model Assumptions'!$B$6*O25</f>
        <v>3591.4129575095444</v>
      </c>
    </row>
    <row r="23" spans="1:17" customFormat="1" x14ac:dyDescent="0.25">
      <c r="A23" s="6" t="s">
        <v>30</v>
      </c>
      <c r="B23" s="7">
        <f>B24-B22</f>
        <v>19897.312350503278</v>
      </c>
      <c r="C23" s="7">
        <f t="shared" ref="C23:K23" si="10">C24-C22</f>
        <v>21290.124215038508</v>
      </c>
      <c r="D23" s="7">
        <f t="shared" si="10"/>
        <v>22780.4329100912</v>
      </c>
      <c r="E23" s="7">
        <f t="shared" si="10"/>
        <v>24375.063213797584</v>
      </c>
      <c r="F23" s="7">
        <f t="shared" si="10"/>
        <v>26081.317638763412</v>
      </c>
      <c r="G23" s="7">
        <f t="shared" si="10"/>
        <v>27907.009873476851</v>
      </c>
      <c r="H23" s="7">
        <f t="shared" si="10"/>
        <v>29860.500564620233</v>
      </c>
      <c r="I23" s="7">
        <f t="shared" si="10"/>
        <v>31950.735604143651</v>
      </c>
      <c r="J23" s="7">
        <f t="shared" si="10"/>
        <v>34187.287096433705</v>
      </c>
      <c r="K23" s="7">
        <f t="shared" si="10"/>
        <v>36580.397193184064</v>
      </c>
      <c r="L23" s="7">
        <f t="shared" ref="L23" si="11">L24-L22</f>
        <v>39141.024996706947</v>
      </c>
      <c r="M23" s="7">
        <f t="shared" ref="M23" si="12">M24-M22</f>
        <v>41880.896746476436</v>
      </c>
      <c r="N23" s="7">
        <f t="shared" ref="N23" si="13">N24-N22</f>
        <v>44812.559518729788</v>
      </c>
      <c r="O23" s="7">
        <f t="shared" ref="O23" si="14">O24-O22</f>
        <v>47949.43868504087</v>
      </c>
      <c r="P23" s="7">
        <f t="shared" ref="P23" si="15">P24-P22</f>
        <v>51305.899392993735</v>
      </c>
    </row>
    <row r="24" spans="1:17" x14ac:dyDescent="0.25">
      <c r="A24" s="1" t="s">
        <v>31</v>
      </c>
      <c r="B24" s="2">
        <f>-PMT('Model Assumptions'!$B$6,15,'Model Assumptions'!$B$4*'Model Assumptions'!$B$10,,0)</f>
        <v>54897.312350503278</v>
      </c>
      <c r="C24" s="2">
        <f>-PMT('Model Assumptions'!$B$6,15,'Model Assumptions'!$B$4*'Model Assumptions'!$B$10,,0)</f>
        <v>54897.312350503278</v>
      </c>
      <c r="D24" s="2">
        <f>-PMT('Model Assumptions'!$B$6,15,'Model Assumptions'!$B$4*'Model Assumptions'!$B$10,,0)</f>
        <v>54897.312350503278</v>
      </c>
      <c r="E24" s="2">
        <f>-PMT('Model Assumptions'!$B$6,15,'Model Assumptions'!$B$4*'Model Assumptions'!$B$10,,0)</f>
        <v>54897.312350503278</v>
      </c>
      <c r="F24" s="2">
        <f>-PMT('Model Assumptions'!$B$6,15,'Model Assumptions'!$B$4*'Model Assumptions'!$B$10,,0)</f>
        <v>54897.312350503278</v>
      </c>
      <c r="G24" s="2">
        <f>-PMT('Model Assumptions'!$B$6,15,'Model Assumptions'!$B$4*'Model Assumptions'!$B$10,,0)</f>
        <v>54897.312350503278</v>
      </c>
      <c r="H24" s="2">
        <f>-PMT('Model Assumptions'!$B$6,15,'Model Assumptions'!$B$4*'Model Assumptions'!$B$10,,0)</f>
        <v>54897.312350503278</v>
      </c>
      <c r="I24" s="2">
        <f>-PMT('Model Assumptions'!$B$6,15,'Model Assumptions'!$B$4*'Model Assumptions'!$B$10,,0)</f>
        <v>54897.312350503278</v>
      </c>
      <c r="J24" s="2">
        <f>-PMT('Model Assumptions'!$B$6,15,'Model Assumptions'!$B$4*'Model Assumptions'!$B$10,,0)</f>
        <v>54897.312350503278</v>
      </c>
      <c r="K24" s="2">
        <f>-PMT('Model Assumptions'!$B$6,15,'Model Assumptions'!$B$4*'Model Assumptions'!$B$10,,0)</f>
        <v>54897.312350503278</v>
      </c>
      <c r="L24" s="2">
        <f>-PMT('Model Assumptions'!$B$6,15,'Model Assumptions'!$B$4*'Model Assumptions'!$B$10,,0)</f>
        <v>54897.312350503278</v>
      </c>
      <c r="M24" s="2">
        <f>-PMT('Model Assumptions'!$B$6,15,'Model Assumptions'!$B$4*'Model Assumptions'!$B$10,,0)</f>
        <v>54897.312350503278</v>
      </c>
      <c r="N24" s="2">
        <f>-PMT('Model Assumptions'!$B$6,15,'Model Assumptions'!$B$4*'Model Assumptions'!$B$10,,0)</f>
        <v>54897.312350503278</v>
      </c>
      <c r="O24" s="2">
        <f>-PMT('Model Assumptions'!$B$6,15,'Model Assumptions'!$B$4*'Model Assumptions'!$B$10,,0)</f>
        <v>54897.312350503278</v>
      </c>
      <c r="P24" s="2">
        <f>-PMT('Model Assumptions'!$B$6,15,'Model Assumptions'!$B$4*'Model Assumptions'!$B$10,,0)</f>
        <v>54897.312350503278</v>
      </c>
    </row>
    <row r="25" spans="1:17" x14ac:dyDescent="0.25">
      <c r="A25" s="6" t="s">
        <v>37</v>
      </c>
      <c r="B25" s="7">
        <f>'Model Assumptions'!B4*'Model Assumptions'!B10-'15 Year Term'!B23</f>
        <v>480102.68764949671</v>
      </c>
      <c r="C25" s="7">
        <f>B25-C23</f>
        <v>458812.56343445822</v>
      </c>
      <c r="D25" s="7">
        <f t="shared" ref="D25:K25" si="16">C25-D23</f>
        <v>436032.13052436704</v>
      </c>
      <c r="E25" s="7">
        <f t="shared" si="16"/>
        <v>411657.06731056946</v>
      </c>
      <c r="F25" s="7">
        <f t="shared" si="16"/>
        <v>385575.74967180606</v>
      </c>
      <c r="G25" s="7">
        <f t="shared" si="16"/>
        <v>357668.73979832919</v>
      </c>
      <c r="H25" s="7">
        <f t="shared" si="16"/>
        <v>327808.23923370894</v>
      </c>
      <c r="I25" s="7">
        <f t="shared" si="16"/>
        <v>295857.5036295653</v>
      </c>
      <c r="J25" s="7">
        <f t="shared" si="16"/>
        <v>261670.21653313161</v>
      </c>
      <c r="K25" s="7">
        <f t="shared" si="16"/>
        <v>225089.81933994754</v>
      </c>
      <c r="L25" s="7">
        <f t="shared" ref="L25:P25" si="17">K25-L23</f>
        <v>185948.79434324059</v>
      </c>
      <c r="M25" s="7">
        <f t="shared" si="17"/>
        <v>144067.89759676415</v>
      </c>
      <c r="N25" s="7">
        <f t="shared" si="17"/>
        <v>99255.338078034358</v>
      </c>
      <c r="O25" s="7">
        <f t="shared" si="17"/>
        <v>51305.899392993488</v>
      </c>
      <c r="P25" s="7">
        <f t="shared" si="17"/>
        <v>-2.4738255888223648E-10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workbookViewId="0">
      <selection activeCell="D1" sqref="D1"/>
    </sheetView>
  </sheetViews>
  <sheetFormatPr defaultColWidth="8.85546875" defaultRowHeight="15.75" x14ac:dyDescent="0.25"/>
  <cols>
    <col min="1" max="1" width="32.28515625" style="1" customWidth="1"/>
    <col min="2" max="23" width="9.7109375" style="1" customWidth="1"/>
    <col min="24" max="16384" width="8.85546875" style="1"/>
  </cols>
  <sheetData>
    <row r="1" spans="1:22" x14ac:dyDescent="0.25">
      <c r="D1" s="1" t="s">
        <v>41</v>
      </c>
    </row>
    <row r="2" spans="1:22" x14ac:dyDescent="0.25">
      <c r="A2" s="5" t="s">
        <v>38</v>
      </c>
      <c r="B2" s="5"/>
    </row>
    <row r="3" spans="1:22" x14ac:dyDescent="0.25">
      <c r="A3" s="6" t="s">
        <v>8</v>
      </c>
      <c r="B3" s="20">
        <v>0.12517089038843254</v>
      </c>
      <c r="C3" s="11"/>
      <c r="D3" s="11"/>
      <c r="E3" s="11"/>
      <c r="F3" s="11"/>
    </row>
    <row r="4" spans="1:22" x14ac:dyDescent="0.25">
      <c r="A4" s="22" t="s">
        <v>19</v>
      </c>
      <c r="B4" s="23">
        <f>XIRR(B18:V18,B17:V17,0.2)</f>
        <v>0.11999991536140439</v>
      </c>
      <c r="C4" s="11"/>
      <c r="D4" s="11"/>
      <c r="E4" s="11"/>
      <c r="F4" s="11"/>
    </row>
    <row r="6" spans="1:22" x14ac:dyDescent="0.25">
      <c r="A6" s="5" t="s">
        <v>22</v>
      </c>
      <c r="B6" s="5"/>
      <c r="C6" s="5"/>
      <c r="D6" s="5"/>
      <c r="E6" s="5"/>
      <c r="F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6" t="s">
        <v>23</v>
      </c>
      <c r="B7" s="6">
        <v>1</v>
      </c>
      <c r="C7" s="6">
        <v>2</v>
      </c>
      <c r="D7" s="6">
        <v>3</v>
      </c>
      <c r="E7" s="6">
        <v>4</v>
      </c>
      <c r="F7" s="6">
        <f>1+E7</f>
        <v>5</v>
      </c>
      <c r="G7" s="6">
        <f t="shared" ref="G7:P7" si="0">1+F7</f>
        <v>6</v>
      </c>
      <c r="H7" s="6">
        <f t="shared" si="0"/>
        <v>7</v>
      </c>
      <c r="I7" s="6">
        <f t="shared" si="0"/>
        <v>8</v>
      </c>
      <c r="J7" s="6">
        <f t="shared" si="0"/>
        <v>9</v>
      </c>
      <c r="K7" s="6">
        <f t="shared" si="0"/>
        <v>10</v>
      </c>
      <c r="L7" s="6">
        <f t="shared" si="0"/>
        <v>11</v>
      </c>
      <c r="M7" s="6">
        <f t="shared" si="0"/>
        <v>12</v>
      </c>
      <c r="N7" s="6">
        <f t="shared" si="0"/>
        <v>13</v>
      </c>
      <c r="O7" s="6">
        <f t="shared" si="0"/>
        <v>14</v>
      </c>
      <c r="P7" s="6">
        <f t="shared" si="0"/>
        <v>15</v>
      </c>
      <c r="Q7" s="6">
        <f t="shared" ref="Q7:U7" si="1">1+P7</f>
        <v>16</v>
      </c>
      <c r="R7" s="6">
        <f t="shared" si="1"/>
        <v>17</v>
      </c>
      <c r="S7" s="6">
        <f t="shared" si="1"/>
        <v>18</v>
      </c>
      <c r="T7" s="6">
        <f t="shared" si="1"/>
        <v>19</v>
      </c>
      <c r="U7" s="6">
        <f t="shared" si="1"/>
        <v>20</v>
      </c>
    </row>
    <row r="8" spans="1:22" x14ac:dyDescent="0.25">
      <c r="A8" s="1" t="s">
        <v>24</v>
      </c>
      <c r="B8" s="2">
        <f>'Model Assumptions'!$B$10*$B$3</f>
        <v>125170.89038843254</v>
      </c>
      <c r="C8" s="2">
        <f>'Model Assumptions'!$B$10*$B$3</f>
        <v>125170.89038843254</v>
      </c>
      <c r="D8" s="2">
        <f>'Model Assumptions'!$B$10*$B$3</f>
        <v>125170.89038843254</v>
      </c>
      <c r="E8" s="2">
        <f>'Model Assumptions'!$B$10*$B$3</f>
        <v>125170.89038843254</v>
      </c>
      <c r="F8" s="2">
        <f>'Model Assumptions'!$B$10*$B$3</f>
        <v>125170.89038843254</v>
      </c>
      <c r="G8" s="2">
        <f>'Model Assumptions'!$B$10*$B$3</f>
        <v>125170.89038843254</v>
      </c>
      <c r="H8" s="2">
        <f>'Model Assumptions'!$B$10*$B$3</f>
        <v>125170.89038843254</v>
      </c>
      <c r="I8" s="2">
        <f>'Model Assumptions'!$B$10*$B$3</f>
        <v>125170.89038843254</v>
      </c>
      <c r="J8" s="2">
        <f>'Model Assumptions'!$B$10*$B$3</f>
        <v>125170.89038843254</v>
      </c>
      <c r="K8" s="2">
        <f>'Model Assumptions'!$B$10*$B$3</f>
        <v>125170.89038843254</v>
      </c>
      <c r="L8" s="2">
        <f>'Model Assumptions'!$B$10*$B$3</f>
        <v>125170.89038843254</v>
      </c>
      <c r="M8" s="2">
        <f>'Model Assumptions'!$B$10*$B$3</f>
        <v>125170.89038843254</v>
      </c>
      <c r="N8" s="2">
        <f>'Model Assumptions'!$B$10*$B$3</f>
        <v>125170.89038843254</v>
      </c>
      <c r="O8" s="2">
        <f>'Model Assumptions'!$B$10*$B$3</f>
        <v>125170.89038843254</v>
      </c>
      <c r="P8" s="2">
        <f>'Model Assumptions'!$B$10*$B$3</f>
        <v>125170.89038843254</v>
      </c>
      <c r="Q8" s="2">
        <f>'Model Assumptions'!$B$10*$B$3</f>
        <v>125170.89038843254</v>
      </c>
      <c r="R8" s="2">
        <f>'Model Assumptions'!$B$10*$B$3</f>
        <v>125170.89038843254</v>
      </c>
      <c r="S8" s="2">
        <f>'Model Assumptions'!$B$10*$B$3</f>
        <v>125170.89038843254</v>
      </c>
      <c r="T8" s="2">
        <f>'Model Assumptions'!$B$10*$B$3</f>
        <v>125170.89038843254</v>
      </c>
      <c r="U8" s="2">
        <f>'Model Assumptions'!$B$10*$B$3</f>
        <v>125170.89038843254</v>
      </c>
    </row>
    <row r="9" spans="1:22" x14ac:dyDescent="0.25">
      <c r="A9" s="6" t="s">
        <v>40</v>
      </c>
      <c r="B9" s="7">
        <v>0</v>
      </c>
      <c r="C9" s="7">
        <f>B9*(1+'Model Assumptions'!$B$11)</f>
        <v>0</v>
      </c>
      <c r="D9" s="7">
        <f>C9*(1+'Model Assumptions'!$B$11)</f>
        <v>0</v>
      </c>
      <c r="E9" s="7">
        <f>D9*(1+'Model Assumptions'!$B$11)</f>
        <v>0</v>
      </c>
      <c r="F9" s="7">
        <f>E9*(1+'Model Assumptions'!$B$11)</f>
        <v>0</v>
      </c>
      <c r="G9" s="7">
        <f>F9*(1+'Model Assumptions'!$B$11)</f>
        <v>0</v>
      </c>
      <c r="H9" s="7">
        <f>G9*(1+'Model Assumptions'!$B$11)</f>
        <v>0</v>
      </c>
      <c r="I9" s="7">
        <f>H9*(1+'Model Assumptions'!$B$11)</f>
        <v>0</v>
      </c>
      <c r="J9" s="7">
        <f>I9*(1+'Model Assumptions'!$B$11)</f>
        <v>0</v>
      </c>
      <c r="K9" s="7">
        <f>J9*(1+'Model Assumptions'!$B$11)</f>
        <v>0</v>
      </c>
      <c r="L9" s="7">
        <f>K9*(1+'Model Assumptions'!$B$11)</f>
        <v>0</v>
      </c>
      <c r="M9" s="7">
        <f>L9*(1+'Model Assumptions'!$B$11)</f>
        <v>0</v>
      </c>
      <c r="N9" s="7">
        <f>M9*(1+'Model Assumptions'!$B$11)</f>
        <v>0</v>
      </c>
      <c r="O9" s="7">
        <f>N9*(1+'Model Assumptions'!$B$11)</f>
        <v>0</v>
      </c>
      <c r="P9" s="7">
        <f>O9*(1+'Model Assumptions'!$B$11)</f>
        <v>0</v>
      </c>
      <c r="Q9" s="7">
        <f>P9*(1+'Model Assumptions'!$B$11)</f>
        <v>0</v>
      </c>
      <c r="R9" s="7">
        <f>Q9*(1+'Model Assumptions'!$B$11)</f>
        <v>0</v>
      </c>
      <c r="S9" s="7">
        <f>R9*(1+'Model Assumptions'!$B$11)</f>
        <v>0</v>
      </c>
      <c r="T9" s="7">
        <f>S9*(1+'Model Assumptions'!$B$11)</f>
        <v>0</v>
      </c>
      <c r="U9" s="7">
        <f>T9*(1+'Model Assumptions'!$B$11)</f>
        <v>0</v>
      </c>
    </row>
    <row r="10" spans="1:22" x14ac:dyDescent="0.25">
      <c r="A10" s="22" t="s">
        <v>7</v>
      </c>
      <c r="B10" s="24">
        <f>'Model Assumptions'!$B$10*INDEX('Depreciation Factors'!$B$3:$B$22,MATCH(B7,'Depreciation Factors'!$A$3:$A$22,0))</f>
        <v>50000</v>
      </c>
      <c r="C10" s="24">
        <f>'Model Assumptions'!$B$10*INDEX('Depreciation Factors'!$B$3:$B$22,MATCH(C7,'Depreciation Factors'!$A$3:$A$22,0))</f>
        <v>95000</v>
      </c>
      <c r="D10" s="24">
        <f>'Model Assumptions'!$B$10*INDEX('Depreciation Factors'!$B$3:$B$22,MATCH(D7,'Depreciation Factors'!$A$3:$A$22,0))</f>
        <v>85500</v>
      </c>
      <c r="E10" s="24">
        <f>'Model Assumptions'!$B$10*INDEX('Depreciation Factors'!$B$3:$B$22,MATCH(E7,'Depreciation Factors'!$A$3:$A$22,0))</f>
        <v>76950</v>
      </c>
      <c r="F10" s="24">
        <f>'Model Assumptions'!$B$10*INDEX('Depreciation Factors'!$B$3:$B$22,MATCH(F7,'Depreciation Factors'!$A$3:$A$22,0))</f>
        <v>69255</v>
      </c>
      <c r="G10" s="24">
        <f>'Model Assumptions'!$B$10*INDEX('Depreciation Factors'!$B$3:$B$22,MATCH(G7,'Depreciation Factors'!$A$3:$A$22,0))</f>
        <v>62329.500000000007</v>
      </c>
      <c r="H10" s="24">
        <f>'Model Assumptions'!$B$10*INDEX('Depreciation Factors'!$B$3:$B$22,MATCH(H7,'Depreciation Factors'!$A$3:$A$22,0))</f>
        <v>59049</v>
      </c>
      <c r="I10" s="24">
        <f>'Model Assumptions'!$B$10*INDEX('Depreciation Factors'!$B$3:$B$22,MATCH(I7,'Depreciation Factors'!$A$3:$A$22,0))</f>
        <v>59049</v>
      </c>
      <c r="J10" s="24">
        <f>'Model Assumptions'!$B$10*INDEX('Depreciation Factors'!$B$3:$B$22,MATCH(J7,'Depreciation Factors'!$A$3:$A$22,0))</f>
        <v>59049</v>
      </c>
      <c r="K10" s="24">
        <f>'Model Assumptions'!$B$10*INDEX('Depreciation Factors'!$B$3:$B$22,MATCH(K7,'Depreciation Factors'!$A$3:$A$22,0))</f>
        <v>59049</v>
      </c>
      <c r="L10" s="24">
        <f>'Model Assumptions'!$B$10*INDEX('Depreciation Factors'!$B$3:$B$22,MATCH(L7,'Depreciation Factors'!$A$3:$A$22,0))</f>
        <v>59048.999999999993</v>
      </c>
      <c r="M10" s="24">
        <f>'Model Assumptions'!$B$10*INDEX('Depreciation Factors'!$B$3:$B$22,MATCH(M7,'Depreciation Factors'!$A$3:$A$22,0))</f>
        <v>59048.999999999978</v>
      </c>
      <c r="N10" s="24">
        <f>'Model Assumptions'!$B$10*INDEX('Depreciation Factors'!$B$3:$B$22,MATCH(N7,'Depreciation Factors'!$A$3:$A$22,0))</f>
        <v>59048.999999999985</v>
      </c>
      <c r="O10" s="24">
        <f>'Model Assumptions'!$B$10*INDEX('Depreciation Factors'!$B$3:$B$22,MATCH(O7,'Depreciation Factors'!$A$3:$A$22,0))</f>
        <v>59048.999999999993</v>
      </c>
      <c r="P10" s="24">
        <f>'Model Assumptions'!$B$10*INDEX('Depreciation Factors'!$B$3:$B$22,MATCH(P7,'Depreciation Factors'!$A$3:$A$22,0))</f>
        <v>59048.999999999978</v>
      </c>
      <c r="Q10" s="24">
        <f>'Model Assumptions'!$B$10*INDEX('Depreciation Factors'!$B$3:$B$22,MATCH(Q7,'Depreciation Factors'!$A$3:$A$22,0))</f>
        <v>29524.499999999996</v>
      </c>
      <c r="R10" s="24">
        <f>'Model Assumptions'!$B$10*INDEX('Depreciation Factors'!$B$3:$B$22,MATCH(R7,'Depreciation Factors'!$A$3:$A$22,0))</f>
        <v>0</v>
      </c>
      <c r="S10" s="24">
        <f>'Model Assumptions'!$B$10*INDEX('Depreciation Factors'!$B$3:$B$22,MATCH(S7,'Depreciation Factors'!$A$3:$A$22,0))</f>
        <v>0</v>
      </c>
      <c r="T10" s="24">
        <f>'Model Assumptions'!$B$10*INDEX('Depreciation Factors'!$B$3:$B$22,MATCH(T7,'Depreciation Factors'!$A$3:$A$22,0))</f>
        <v>0</v>
      </c>
      <c r="U10" s="24">
        <f>'Model Assumptions'!$B$10*INDEX('Depreciation Factors'!$B$3:$B$22,MATCH(U7,'Depreciation Factors'!$A$3:$A$22,0))</f>
        <v>0</v>
      </c>
    </row>
    <row r="11" spans="1:22" x14ac:dyDescent="0.25">
      <c r="A11" s="6" t="s">
        <v>25</v>
      </c>
      <c r="B11" s="7">
        <f>B22</f>
        <v>35000</v>
      </c>
      <c r="C11" s="7">
        <f t="shared" ref="C11:P11" si="2">C22</f>
        <v>34146.247598986054</v>
      </c>
      <c r="D11" s="7">
        <f t="shared" si="2"/>
        <v>33232.732529901128</v>
      </c>
      <c r="E11" s="7">
        <f t="shared" si="2"/>
        <v>32255.271405980257</v>
      </c>
      <c r="F11" s="7">
        <f t="shared" si="2"/>
        <v>31209.388003384927</v>
      </c>
      <c r="G11" s="7">
        <f t="shared" si="2"/>
        <v>30090.292762607922</v>
      </c>
      <c r="H11" s="7">
        <f t="shared" si="2"/>
        <v>28892.86085497653</v>
      </c>
      <c r="I11" s="7">
        <f t="shared" si="2"/>
        <v>27611.608713810936</v>
      </c>
      <c r="J11" s="7">
        <f t="shared" si="2"/>
        <v>26240.668922763754</v>
      </c>
      <c r="K11" s="7">
        <f t="shared" si="2"/>
        <v>24773.763346343268</v>
      </c>
      <c r="L11" s="7">
        <f t="shared" si="2"/>
        <v>23204.174379573346</v>
      </c>
      <c r="M11" s="7">
        <f t="shared" si="2"/>
        <v>21524.714185129531</v>
      </c>
      <c r="N11" s="7">
        <f t="shared" si="2"/>
        <v>19727.691777074648</v>
      </c>
      <c r="O11" s="7">
        <f t="shared" si="2"/>
        <v>17804.877800455924</v>
      </c>
      <c r="P11" s="7">
        <f t="shared" si="2"/>
        <v>15747.466845473889</v>
      </c>
      <c r="Q11" s="7">
        <f t="shared" ref="Q11:U11" si="3">Q22</f>
        <v>13546.037123643111</v>
      </c>
      <c r="R11" s="7">
        <f t="shared" si="3"/>
        <v>11190.50732128418</v>
      </c>
      <c r="S11" s="7">
        <f t="shared" si="3"/>
        <v>8670.090432760122</v>
      </c>
      <c r="T11" s="7">
        <f t="shared" si="3"/>
        <v>5973.2443620393815</v>
      </c>
      <c r="U11" s="7">
        <f t="shared" si="3"/>
        <v>3087.6190663681887</v>
      </c>
    </row>
    <row r="12" spans="1:22" x14ac:dyDescent="0.25">
      <c r="A12" s="22" t="s">
        <v>26</v>
      </c>
      <c r="B12" s="24">
        <f>B8-B9-B10-B11</f>
        <v>40170.890388432541</v>
      </c>
      <c r="C12" s="24">
        <f t="shared" ref="C12:U12" si="4">C8-C9-C10-C11</f>
        <v>-3975.3572105535131</v>
      </c>
      <c r="D12" s="24">
        <f t="shared" si="4"/>
        <v>6438.1578585314128</v>
      </c>
      <c r="E12" s="24">
        <f t="shared" si="4"/>
        <v>15965.618982452284</v>
      </c>
      <c r="F12" s="24">
        <f t="shared" si="4"/>
        <v>24706.502385047614</v>
      </c>
      <c r="G12" s="24">
        <f t="shared" si="4"/>
        <v>32751.097625824612</v>
      </c>
      <c r="H12" s="24">
        <f t="shared" si="4"/>
        <v>37229.029533456007</v>
      </c>
      <c r="I12" s="24">
        <f t="shared" si="4"/>
        <v>38510.281674621605</v>
      </c>
      <c r="J12" s="24">
        <f t="shared" si="4"/>
        <v>39881.221465668787</v>
      </c>
      <c r="K12" s="24">
        <f t="shared" si="4"/>
        <v>41348.127042089269</v>
      </c>
      <c r="L12" s="24">
        <f t="shared" si="4"/>
        <v>42917.716008859192</v>
      </c>
      <c r="M12" s="24">
        <f t="shared" si="4"/>
        <v>44597.176203303039</v>
      </c>
      <c r="N12" s="24">
        <f t="shared" si="4"/>
        <v>46394.198611357904</v>
      </c>
      <c r="O12" s="24">
        <f t="shared" si="4"/>
        <v>48317.012587976613</v>
      </c>
      <c r="P12" s="24">
        <f t="shared" si="4"/>
        <v>50374.423542958684</v>
      </c>
      <c r="Q12" s="24">
        <f t="shared" si="4"/>
        <v>82100.353264789432</v>
      </c>
      <c r="R12" s="24">
        <f t="shared" si="4"/>
        <v>113980.38306714836</v>
      </c>
      <c r="S12" s="24">
        <f t="shared" si="4"/>
        <v>116500.79995567242</v>
      </c>
      <c r="T12" s="24">
        <f t="shared" si="4"/>
        <v>119197.64602639317</v>
      </c>
      <c r="U12" s="24">
        <f t="shared" si="4"/>
        <v>122083.27132206435</v>
      </c>
    </row>
    <row r="13" spans="1:22" x14ac:dyDescent="0.25">
      <c r="A13" s="6" t="s">
        <v>27</v>
      </c>
      <c r="B13" s="7">
        <f>B12*'Model Assumptions'!$B$9</f>
        <v>16775.363826209428</v>
      </c>
      <c r="C13" s="7">
        <f>C12*'Model Assumptions'!$B$9</f>
        <v>-1660.109171127147</v>
      </c>
      <c r="D13" s="7">
        <f>D12*'Model Assumptions'!$B$9</f>
        <v>2688.5747217227176</v>
      </c>
      <c r="E13" s="7">
        <f>E12*'Model Assumptions'!$B$9</f>
        <v>6667.2424870720733</v>
      </c>
      <c r="F13" s="7">
        <f>F12*'Model Assumptions'!$B$9</f>
        <v>10317.435395995883</v>
      </c>
      <c r="G13" s="7">
        <f>G12*'Model Assumptions'!$B$9</f>
        <v>13676.858368544357</v>
      </c>
      <c r="H13" s="7">
        <f>H12*'Model Assumptions'!$B$9</f>
        <v>15546.842733171228</v>
      </c>
      <c r="I13" s="7">
        <f>I12*'Model Assumptions'!$B$9</f>
        <v>16081.893627321981</v>
      </c>
      <c r="J13" s="7">
        <f>J12*'Model Assumptions'!$B$9</f>
        <v>16654.398084063283</v>
      </c>
      <c r="K13" s="7">
        <f>K12*'Model Assumptions'!$B$9</f>
        <v>17266.977852776479</v>
      </c>
      <c r="L13" s="7">
        <f>L12*'Model Assumptions'!$B$9</f>
        <v>17922.438205299597</v>
      </c>
      <c r="M13" s="7">
        <f>M12*'Model Assumptions'!$B$9</f>
        <v>18623.780782499347</v>
      </c>
      <c r="N13" s="7">
        <f>N12*'Model Assumptions'!$B$9</f>
        <v>19374.21734010306</v>
      </c>
      <c r="O13" s="7">
        <f>O12*'Model Assumptions'!$B$9</f>
        <v>20177.184456739033</v>
      </c>
      <c r="P13" s="7">
        <f>P12*'Model Assumptions'!$B$9</f>
        <v>21036.359271539546</v>
      </c>
      <c r="Q13" s="7">
        <f>Q12*'Model Assumptions'!$B$9</f>
        <v>34285.107523376064</v>
      </c>
      <c r="R13" s="7">
        <f>R12*'Model Assumptions'!$B$9</f>
        <v>47598.207968841154</v>
      </c>
      <c r="S13" s="7">
        <f>S12*'Model Assumptions'!$B$9</f>
        <v>48650.734061488802</v>
      </c>
      <c r="T13" s="7">
        <f>T12*'Model Assumptions'!$B$9</f>
        <v>49776.93698062178</v>
      </c>
      <c r="U13" s="7">
        <f>U12*'Model Assumptions'!$B$9</f>
        <v>50981.974104094072</v>
      </c>
    </row>
    <row r="14" spans="1:22" x14ac:dyDescent="0.25">
      <c r="A14" s="22" t="s">
        <v>28</v>
      </c>
      <c r="B14" s="24">
        <f>B24</f>
        <v>47196.462871627846</v>
      </c>
      <c r="C14" s="24">
        <f t="shared" ref="C14:P14" si="5">C24</f>
        <v>47196.462871627846</v>
      </c>
      <c r="D14" s="24">
        <f t="shared" si="5"/>
        <v>47196.462871627846</v>
      </c>
      <c r="E14" s="24">
        <f t="shared" si="5"/>
        <v>47196.462871627846</v>
      </c>
      <c r="F14" s="24">
        <f t="shared" si="5"/>
        <v>47196.462871627846</v>
      </c>
      <c r="G14" s="24">
        <f t="shared" si="5"/>
        <v>47196.462871627846</v>
      </c>
      <c r="H14" s="24">
        <f t="shared" si="5"/>
        <v>47196.462871627846</v>
      </c>
      <c r="I14" s="24">
        <f t="shared" si="5"/>
        <v>47196.462871627846</v>
      </c>
      <c r="J14" s="24">
        <f t="shared" si="5"/>
        <v>47196.462871627846</v>
      </c>
      <c r="K14" s="24">
        <f t="shared" si="5"/>
        <v>47196.462871627846</v>
      </c>
      <c r="L14" s="24">
        <f t="shared" si="5"/>
        <v>47196.462871627846</v>
      </c>
      <c r="M14" s="24">
        <f t="shared" si="5"/>
        <v>47196.462871627846</v>
      </c>
      <c r="N14" s="24">
        <f t="shared" si="5"/>
        <v>47196.462871627846</v>
      </c>
      <c r="O14" s="24">
        <f t="shared" si="5"/>
        <v>47196.462871627846</v>
      </c>
      <c r="P14" s="24">
        <f t="shared" si="5"/>
        <v>47196.462871627846</v>
      </c>
      <c r="Q14" s="24">
        <f t="shared" ref="Q14:U14" si="6">Q24</f>
        <v>47196.462871627846</v>
      </c>
      <c r="R14" s="24">
        <f t="shared" si="6"/>
        <v>47196.462871627846</v>
      </c>
      <c r="S14" s="24">
        <f t="shared" si="6"/>
        <v>47196.462871627846</v>
      </c>
      <c r="T14" s="24">
        <f t="shared" si="6"/>
        <v>47196.462871627846</v>
      </c>
      <c r="U14" s="24">
        <f t="shared" si="6"/>
        <v>47196.462871627846</v>
      </c>
    </row>
    <row r="16" spans="1:22" x14ac:dyDescent="0.25">
      <c r="A16" s="5" t="s">
        <v>33</v>
      </c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6" t="s">
        <v>20</v>
      </c>
      <c r="B17" s="8">
        <v>39083</v>
      </c>
      <c r="C17" s="8">
        <v>39264</v>
      </c>
      <c r="D17" s="8">
        <f>DATE(2008,7,1)</f>
        <v>39630</v>
      </c>
      <c r="E17" s="8">
        <f>DATE(2009,7,1)</f>
        <v>39995</v>
      </c>
      <c r="F17" s="8">
        <f>DATE(2010,7,1)</f>
        <v>40360</v>
      </c>
      <c r="G17" s="8">
        <f>DATE(2011,7,1)</f>
        <v>40725</v>
      </c>
      <c r="H17" s="8">
        <v>41091</v>
      </c>
      <c r="I17" s="8">
        <v>41456</v>
      </c>
      <c r="J17" s="8">
        <v>41821</v>
      </c>
      <c r="K17" s="8">
        <v>42186</v>
      </c>
      <c r="L17" s="8">
        <v>42552</v>
      </c>
      <c r="M17" s="8">
        <v>42917</v>
      </c>
      <c r="N17" s="8">
        <v>43282</v>
      </c>
      <c r="O17" s="8">
        <v>43647</v>
      </c>
      <c r="P17" s="8">
        <v>44013</v>
      </c>
      <c r="Q17" s="8">
        <v>44378</v>
      </c>
      <c r="R17" s="8">
        <v>44743</v>
      </c>
      <c r="S17" s="8">
        <v>45108</v>
      </c>
      <c r="T17" s="8">
        <v>45474</v>
      </c>
      <c r="U17" s="8">
        <v>45839</v>
      </c>
      <c r="V17" s="8">
        <v>46204</v>
      </c>
    </row>
    <row r="18" spans="1:22" x14ac:dyDescent="0.25">
      <c r="A18" s="3" t="s">
        <v>11</v>
      </c>
      <c r="B18" s="12">
        <f>-'Model Assumptions'!B3*'Model Assumptions'!B10</f>
        <v>-500000</v>
      </c>
      <c r="C18" s="2">
        <f>B8-B9-B13-B14</f>
        <v>61199.063690595263</v>
      </c>
      <c r="D18" s="2">
        <f t="shared" ref="D18:V18" si="7">C8-C9-C13-C14</f>
        <v>79634.536687931832</v>
      </c>
      <c r="E18" s="2">
        <f t="shared" si="7"/>
        <v>75285.85279508197</v>
      </c>
      <c r="F18" s="2">
        <f t="shared" si="7"/>
        <v>71307.185029732616</v>
      </c>
      <c r="G18" s="2">
        <f t="shared" si="7"/>
        <v>67656.992120808805</v>
      </c>
      <c r="H18" s="2">
        <f t="shared" si="7"/>
        <v>64297.569148260336</v>
      </c>
      <c r="I18" s="2">
        <f t="shared" si="7"/>
        <v>62427.584783633465</v>
      </c>
      <c r="J18" s="2">
        <f t="shared" si="7"/>
        <v>61892.533889482707</v>
      </c>
      <c r="K18" s="2">
        <f t="shared" si="7"/>
        <v>61320.029432741409</v>
      </c>
      <c r="L18" s="2">
        <f t="shared" si="7"/>
        <v>60707.449664028223</v>
      </c>
      <c r="M18" s="2">
        <f t="shared" si="7"/>
        <v>60051.989311505102</v>
      </c>
      <c r="N18" s="2">
        <f t="shared" si="7"/>
        <v>59350.646734305345</v>
      </c>
      <c r="O18" s="2">
        <f t="shared" si="7"/>
        <v>58600.210176701636</v>
      </c>
      <c r="P18" s="2">
        <f t="shared" si="7"/>
        <v>57797.243060065659</v>
      </c>
      <c r="Q18" s="2">
        <f t="shared" si="7"/>
        <v>56938.068245265145</v>
      </c>
      <c r="R18" s="2">
        <f t="shared" si="7"/>
        <v>43689.319993428631</v>
      </c>
      <c r="S18" s="2">
        <f t="shared" si="7"/>
        <v>30376.219547963534</v>
      </c>
      <c r="T18" s="2">
        <f t="shared" si="7"/>
        <v>29323.693455315901</v>
      </c>
      <c r="U18" s="2">
        <f t="shared" si="7"/>
        <v>28197.490536182922</v>
      </c>
      <c r="V18" s="2">
        <f t="shared" si="7"/>
        <v>26992.453412710624</v>
      </c>
    </row>
    <row r="20" spans="1:22" x14ac:dyDescent="0.25">
      <c r="A20" s="5" t="s">
        <v>21</v>
      </c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2" customFormat="1" x14ac:dyDescent="0.25">
      <c r="A21" s="6" t="s">
        <v>32</v>
      </c>
      <c r="B21" s="6">
        <v>1</v>
      </c>
      <c r="C21" s="6">
        <v>2</v>
      </c>
      <c r="D21" s="6">
        <v>3</v>
      </c>
      <c r="E21" s="6">
        <v>4</v>
      </c>
      <c r="F21" s="6">
        <f>1+E21</f>
        <v>5</v>
      </c>
      <c r="G21" s="6">
        <f t="shared" ref="G21:P21" si="8">1+F21</f>
        <v>6</v>
      </c>
      <c r="H21" s="6">
        <f t="shared" si="8"/>
        <v>7</v>
      </c>
      <c r="I21" s="6">
        <f t="shared" si="8"/>
        <v>8</v>
      </c>
      <c r="J21" s="6">
        <f t="shared" si="8"/>
        <v>9</v>
      </c>
      <c r="K21" s="6">
        <f t="shared" si="8"/>
        <v>10</v>
      </c>
      <c r="L21" s="6">
        <f t="shared" si="8"/>
        <v>11</v>
      </c>
      <c r="M21" s="6">
        <f t="shared" si="8"/>
        <v>12</v>
      </c>
      <c r="N21" s="6">
        <f t="shared" si="8"/>
        <v>13</v>
      </c>
      <c r="O21" s="6">
        <f t="shared" si="8"/>
        <v>14</v>
      </c>
      <c r="P21" s="6">
        <f t="shared" si="8"/>
        <v>15</v>
      </c>
      <c r="Q21" s="6">
        <f t="shared" ref="Q21:U21" si="9">1+P21</f>
        <v>16</v>
      </c>
      <c r="R21" s="6">
        <f t="shared" si="9"/>
        <v>17</v>
      </c>
      <c r="S21" s="6">
        <f t="shared" si="9"/>
        <v>18</v>
      </c>
      <c r="T21" s="6">
        <f t="shared" si="9"/>
        <v>19</v>
      </c>
      <c r="U21" s="6">
        <f t="shared" si="9"/>
        <v>20</v>
      </c>
    </row>
    <row r="22" spans="1:22" customFormat="1" x14ac:dyDescent="0.25">
      <c r="A22" s="1" t="s">
        <v>29</v>
      </c>
      <c r="B22" s="2">
        <f>'Model Assumptions'!B6*'Model Assumptions'!B4*'Model Assumptions'!B10</f>
        <v>35000</v>
      </c>
      <c r="C22" s="2">
        <f>'Model Assumptions'!$B$6*B25</f>
        <v>34146.247598986054</v>
      </c>
      <c r="D22" s="2">
        <f>'Model Assumptions'!$B$6*C25</f>
        <v>33232.732529901128</v>
      </c>
      <c r="E22" s="2">
        <f>'Model Assumptions'!$B$6*D25</f>
        <v>32255.271405980257</v>
      </c>
      <c r="F22" s="2">
        <f>'Model Assumptions'!$B$6*E25</f>
        <v>31209.388003384927</v>
      </c>
      <c r="G22" s="2">
        <f>'Model Assumptions'!$B$6*F25</f>
        <v>30090.292762607922</v>
      </c>
      <c r="H22" s="2">
        <f>'Model Assumptions'!$B$6*G25</f>
        <v>28892.86085497653</v>
      </c>
      <c r="I22" s="2">
        <f>'Model Assumptions'!$B$6*H25</f>
        <v>27611.608713810936</v>
      </c>
      <c r="J22" s="2">
        <f>'Model Assumptions'!$B$6*I25</f>
        <v>26240.668922763754</v>
      </c>
      <c r="K22" s="2">
        <f>'Model Assumptions'!$B$6*J25</f>
        <v>24773.763346343268</v>
      </c>
      <c r="L22" s="2">
        <f>'Model Assumptions'!$B$6*K25</f>
        <v>23204.174379573346</v>
      </c>
      <c r="M22" s="2">
        <f>'Model Assumptions'!$B$6*L25</f>
        <v>21524.714185129531</v>
      </c>
      <c r="N22" s="2">
        <f>'Model Assumptions'!$B$6*M25</f>
        <v>19727.691777074648</v>
      </c>
      <c r="O22" s="2">
        <f>'Model Assumptions'!$B$6*N25</f>
        <v>17804.877800455924</v>
      </c>
      <c r="P22" s="2">
        <f>'Model Assumptions'!$B$6*O25</f>
        <v>15747.466845473889</v>
      </c>
      <c r="Q22" s="2">
        <f>'Model Assumptions'!$B$6*P25</f>
        <v>13546.037123643111</v>
      </c>
      <c r="R22" s="2">
        <f>'Model Assumptions'!$B$6*Q25</f>
        <v>11190.50732128418</v>
      </c>
      <c r="S22" s="2">
        <f>'Model Assumptions'!$B$6*R25</f>
        <v>8670.090432760122</v>
      </c>
      <c r="T22" s="2">
        <f>'Model Assumptions'!$B$6*S25</f>
        <v>5973.2443620393815</v>
      </c>
      <c r="U22" s="2">
        <f>'Model Assumptions'!$B$6*T25</f>
        <v>3087.6190663681887</v>
      </c>
    </row>
    <row r="23" spans="1:22" customFormat="1" x14ac:dyDescent="0.25">
      <c r="A23" s="6" t="s">
        <v>30</v>
      </c>
      <c r="B23" s="7">
        <f>B24-B22</f>
        <v>12196.462871627846</v>
      </c>
      <c r="C23" s="7">
        <f t="shared" ref="C23:P23" si="10">C24-C22</f>
        <v>13050.215272641792</v>
      </c>
      <c r="D23" s="7">
        <f t="shared" si="10"/>
        <v>13963.730341726718</v>
      </c>
      <c r="E23" s="7">
        <f t="shared" si="10"/>
        <v>14941.191465647589</v>
      </c>
      <c r="F23" s="7">
        <f t="shared" si="10"/>
        <v>15987.074868242918</v>
      </c>
      <c r="G23" s="7">
        <f t="shared" si="10"/>
        <v>17106.170109019924</v>
      </c>
      <c r="H23" s="7">
        <f t="shared" si="10"/>
        <v>18303.602016651315</v>
      </c>
      <c r="I23" s="7">
        <f t="shared" si="10"/>
        <v>19584.85415781691</v>
      </c>
      <c r="J23" s="7">
        <f t="shared" si="10"/>
        <v>20955.793948864091</v>
      </c>
      <c r="K23" s="7">
        <f t="shared" si="10"/>
        <v>22422.699525284577</v>
      </c>
      <c r="L23" s="7">
        <f t="shared" si="10"/>
        <v>23992.2884920545</v>
      </c>
      <c r="M23" s="7">
        <f t="shared" si="10"/>
        <v>25671.748686498315</v>
      </c>
      <c r="N23" s="7">
        <f t="shared" si="10"/>
        <v>27468.771094553198</v>
      </c>
      <c r="O23" s="7">
        <f t="shared" si="10"/>
        <v>29391.585071171921</v>
      </c>
      <c r="P23" s="7">
        <f t="shared" si="10"/>
        <v>31448.996026153956</v>
      </c>
      <c r="Q23" s="7">
        <f t="shared" ref="Q23" si="11">Q24-Q22</f>
        <v>33650.425747984737</v>
      </c>
      <c r="R23" s="7">
        <f t="shared" ref="R23" si="12">R24-R22</f>
        <v>36005.955550343664</v>
      </c>
      <c r="S23" s="7">
        <f t="shared" ref="S23" si="13">S24-S22</f>
        <v>38526.372438867722</v>
      </c>
      <c r="T23" s="7">
        <f t="shared" ref="T23" si="14">T24-T22</f>
        <v>41223.218509588463</v>
      </c>
      <c r="U23" s="7">
        <f t="shared" ref="U23" si="15">U24-U22</f>
        <v>44108.843805259654</v>
      </c>
    </row>
    <row r="24" spans="1:22" x14ac:dyDescent="0.25">
      <c r="A24" s="1" t="s">
        <v>31</v>
      </c>
      <c r="B24" s="2">
        <f>-PMT('Model Assumptions'!$B$6,20,'Model Assumptions'!$B$4*'Model Assumptions'!$B$10,,0)</f>
        <v>47196.462871627846</v>
      </c>
      <c r="C24" s="2">
        <f>-PMT('Model Assumptions'!$B$6,20,'Model Assumptions'!$B$4*'Model Assumptions'!$B$10,,0)</f>
        <v>47196.462871627846</v>
      </c>
      <c r="D24" s="2">
        <f>-PMT('Model Assumptions'!$B$6,20,'Model Assumptions'!$B$4*'Model Assumptions'!$B$10,,0)</f>
        <v>47196.462871627846</v>
      </c>
      <c r="E24" s="2">
        <f>-PMT('Model Assumptions'!$B$6,20,'Model Assumptions'!$B$4*'Model Assumptions'!$B$10,,0)</f>
        <v>47196.462871627846</v>
      </c>
      <c r="F24" s="2">
        <f>-PMT('Model Assumptions'!$B$6,20,'Model Assumptions'!$B$4*'Model Assumptions'!$B$10,,0)</f>
        <v>47196.462871627846</v>
      </c>
      <c r="G24" s="2">
        <f>-PMT('Model Assumptions'!$B$6,20,'Model Assumptions'!$B$4*'Model Assumptions'!$B$10,,0)</f>
        <v>47196.462871627846</v>
      </c>
      <c r="H24" s="2">
        <f>-PMT('Model Assumptions'!$B$6,20,'Model Assumptions'!$B$4*'Model Assumptions'!$B$10,,0)</f>
        <v>47196.462871627846</v>
      </c>
      <c r="I24" s="2">
        <f>-PMT('Model Assumptions'!$B$6,20,'Model Assumptions'!$B$4*'Model Assumptions'!$B$10,,0)</f>
        <v>47196.462871627846</v>
      </c>
      <c r="J24" s="2">
        <f>-PMT('Model Assumptions'!$B$6,20,'Model Assumptions'!$B$4*'Model Assumptions'!$B$10,,0)</f>
        <v>47196.462871627846</v>
      </c>
      <c r="K24" s="2">
        <f>-PMT('Model Assumptions'!$B$6,20,'Model Assumptions'!$B$4*'Model Assumptions'!$B$10,,0)</f>
        <v>47196.462871627846</v>
      </c>
      <c r="L24" s="2">
        <f>-PMT('Model Assumptions'!$B$6,20,'Model Assumptions'!$B$4*'Model Assumptions'!$B$10,,0)</f>
        <v>47196.462871627846</v>
      </c>
      <c r="M24" s="2">
        <f>-PMT('Model Assumptions'!$B$6,20,'Model Assumptions'!$B$4*'Model Assumptions'!$B$10,,0)</f>
        <v>47196.462871627846</v>
      </c>
      <c r="N24" s="2">
        <f>-PMT('Model Assumptions'!$B$6,20,'Model Assumptions'!$B$4*'Model Assumptions'!$B$10,,0)</f>
        <v>47196.462871627846</v>
      </c>
      <c r="O24" s="2">
        <f>-PMT('Model Assumptions'!$B$6,20,'Model Assumptions'!$B$4*'Model Assumptions'!$B$10,,0)</f>
        <v>47196.462871627846</v>
      </c>
      <c r="P24" s="2">
        <f>-PMT('Model Assumptions'!$B$6,20,'Model Assumptions'!$B$4*'Model Assumptions'!$B$10,,0)</f>
        <v>47196.462871627846</v>
      </c>
      <c r="Q24" s="2">
        <f>-PMT('Model Assumptions'!$B$6,20,'Model Assumptions'!$B$4*'Model Assumptions'!$B$10,,0)</f>
        <v>47196.462871627846</v>
      </c>
      <c r="R24" s="2">
        <f>-PMT('Model Assumptions'!$B$6,20,'Model Assumptions'!$B$4*'Model Assumptions'!$B$10,,0)</f>
        <v>47196.462871627846</v>
      </c>
      <c r="S24" s="2">
        <f>-PMT('Model Assumptions'!$B$6,20,'Model Assumptions'!$B$4*'Model Assumptions'!$B$10,,0)</f>
        <v>47196.462871627846</v>
      </c>
      <c r="T24" s="2">
        <f>-PMT('Model Assumptions'!$B$6,20,'Model Assumptions'!$B$4*'Model Assumptions'!$B$10,,0)</f>
        <v>47196.462871627846</v>
      </c>
      <c r="U24" s="2">
        <f>-PMT('Model Assumptions'!$B$6,20,'Model Assumptions'!$B$4*'Model Assumptions'!$B$10,,0)</f>
        <v>47196.462871627846</v>
      </c>
    </row>
    <row r="25" spans="1:22" x14ac:dyDescent="0.25">
      <c r="A25" s="6" t="s">
        <v>37</v>
      </c>
      <c r="B25" s="7">
        <f>'Model Assumptions'!B4*'Model Assumptions'!B10-'20 Year Term'!B23</f>
        <v>487803.53712837218</v>
      </c>
      <c r="C25" s="7">
        <f>B25-C23</f>
        <v>474753.32185573038</v>
      </c>
      <c r="D25" s="7">
        <f t="shared" ref="D25:P25" si="16">C25-D23</f>
        <v>460789.59151400364</v>
      </c>
      <c r="E25" s="7">
        <f t="shared" si="16"/>
        <v>445848.40004835604</v>
      </c>
      <c r="F25" s="7">
        <f t="shared" si="16"/>
        <v>429861.32518011314</v>
      </c>
      <c r="G25" s="7">
        <f t="shared" si="16"/>
        <v>412755.15507109324</v>
      </c>
      <c r="H25" s="7">
        <f t="shared" si="16"/>
        <v>394451.55305444193</v>
      </c>
      <c r="I25" s="7">
        <f t="shared" si="16"/>
        <v>374866.69889662502</v>
      </c>
      <c r="J25" s="7">
        <f t="shared" si="16"/>
        <v>353910.90494776092</v>
      </c>
      <c r="K25" s="7">
        <f t="shared" si="16"/>
        <v>331488.20542247634</v>
      </c>
      <c r="L25" s="7">
        <f t="shared" si="16"/>
        <v>307495.91693042184</v>
      </c>
      <c r="M25" s="7">
        <f t="shared" si="16"/>
        <v>281824.16824392352</v>
      </c>
      <c r="N25" s="7">
        <f t="shared" si="16"/>
        <v>254355.39714937031</v>
      </c>
      <c r="O25" s="7">
        <f t="shared" si="16"/>
        <v>224963.81207819839</v>
      </c>
      <c r="P25" s="7">
        <f t="shared" si="16"/>
        <v>193514.81605204442</v>
      </c>
      <c r="Q25" s="7">
        <f t="shared" ref="Q25:U25" si="17">P25-Q23</f>
        <v>159864.39030405969</v>
      </c>
      <c r="R25" s="7">
        <f t="shared" si="17"/>
        <v>123858.43475371602</v>
      </c>
      <c r="S25" s="7">
        <f t="shared" si="17"/>
        <v>85332.062314848299</v>
      </c>
      <c r="T25" s="7">
        <f t="shared" si="17"/>
        <v>44108.843805259836</v>
      </c>
      <c r="U25" s="7">
        <f t="shared" si="17"/>
        <v>1.8189894035458565E-10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activeCell="D1" sqref="D1"/>
    </sheetView>
  </sheetViews>
  <sheetFormatPr defaultColWidth="8.85546875" defaultRowHeight="15.75" x14ac:dyDescent="0.25"/>
  <cols>
    <col min="1" max="1" width="21.7109375" style="1" bestFit="1" customWidth="1"/>
    <col min="2" max="2" width="14.7109375" style="1" bestFit="1" customWidth="1"/>
    <col min="3" max="16384" width="8.85546875" style="1"/>
  </cols>
  <sheetData>
    <row r="1" spans="1:4" x14ac:dyDescent="0.25">
      <c r="D1" s="1" t="s">
        <v>41</v>
      </c>
    </row>
    <row r="2" spans="1:4" x14ac:dyDescent="0.25">
      <c r="A2" s="5" t="s">
        <v>35</v>
      </c>
      <c r="B2" s="5" t="s">
        <v>34</v>
      </c>
    </row>
    <row r="3" spans="1:4" x14ac:dyDescent="0.25">
      <c r="A3" s="6" t="s">
        <v>2</v>
      </c>
      <c r="B3" s="18">
        <v>0.5</v>
      </c>
    </row>
    <row r="4" spans="1:4" x14ac:dyDescent="0.25">
      <c r="A4" s="1" t="s">
        <v>1</v>
      </c>
      <c r="B4" s="17">
        <v>0.5</v>
      </c>
    </row>
    <row r="5" spans="1:4" x14ac:dyDescent="0.25">
      <c r="A5" s="6" t="s">
        <v>0</v>
      </c>
      <c r="B5" s="18">
        <v>0.12</v>
      </c>
    </row>
    <row r="6" spans="1:4" x14ac:dyDescent="0.25">
      <c r="A6" s="1" t="s">
        <v>3</v>
      </c>
      <c r="B6" s="17">
        <v>7.0000000000000007E-2</v>
      </c>
    </row>
    <row r="7" spans="1:4" x14ac:dyDescent="0.25">
      <c r="A7" s="6" t="s">
        <v>4</v>
      </c>
      <c r="B7" s="18">
        <v>0.36</v>
      </c>
    </row>
    <row r="8" spans="1:4" x14ac:dyDescent="0.25">
      <c r="A8" s="1" t="s">
        <v>5</v>
      </c>
      <c r="B8" s="17">
        <v>0.09</v>
      </c>
    </row>
    <row r="9" spans="1:4" x14ac:dyDescent="0.25">
      <c r="A9" s="6" t="s">
        <v>6</v>
      </c>
      <c r="B9" s="18">
        <f>B8+(1-B8)*B7</f>
        <v>0.41759999999999997</v>
      </c>
    </row>
    <row r="10" spans="1:4" x14ac:dyDescent="0.25">
      <c r="A10" s="1" t="s">
        <v>9</v>
      </c>
      <c r="B10" s="2">
        <v>1000000</v>
      </c>
    </row>
    <row r="11" spans="1:4" x14ac:dyDescent="0.25">
      <c r="A11" s="1" t="s">
        <v>39</v>
      </c>
      <c r="B11" s="17">
        <v>2.5000000000000001E-2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E1" sqref="E1"/>
    </sheetView>
  </sheetViews>
  <sheetFormatPr defaultColWidth="8.85546875" defaultRowHeight="15.75" x14ac:dyDescent="0.25"/>
  <cols>
    <col min="1" max="1" width="8.85546875" style="1"/>
    <col min="2" max="2" width="20.140625" style="1" bestFit="1" customWidth="1"/>
    <col min="3" max="16384" width="8.85546875" style="1"/>
  </cols>
  <sheetData>
    <row r="1" spans="1:5" x14ac:dyDescent="0.25">
      <c r="E1" s="1" t="s">
        <v>41</v>
      </c>
    </row>
    <row r="2" spans="1:5" x14ac:dyDescent="0.25">
      <c r="A2" s="5" t="s">
        <v>36</v>
      </c>
      <c r="B2" s="5" t="s">
        <v>10</v>
      </c>
    </row>
    <row r="3" spans="1:5" x14ac:dyDescent="0.25">
      <c r="A3" s="6">
        <v>1</v>
      </c>
      <c r="B3" s="20">
        <v>0.05</v>
      </c>
    </row>
    <row r="4" spans="1:5" x14ac:dyDescent="0.25">
      <c r="A4" s="1">
        <f t="shared" ref="A4:A18" si="0">1+A3</f>
        <v>2</v>
      </c>
      <c r="B4" s="19">
        <v>9.5000000000000001E-2</v>
      </c>
    </row>
    <row r="5" spans="1:5" x14ac:dyDescent="0.25">
      <c r="A5" s="6">
        <f t="shared" si="0"/>
        <v>3</v>
      </c>
      <c r="B5" s="20">
        <v>8.5500000000000007E-2</v>
      </c>
    </row>
    <row r="6" spans="1:5" x14ac:dyDescent="0.25">
      <c r="A6" s="1">
        <f t="shared" si="0"/>
        <v>4</v>
      </c>
      <c r="B6" s="19">
        <v>7.6950000000000005E-2</v>
      </c>
    </row>
    <row r="7" spans="1:5" x14ac:dyDescent="0.25">
      <c r="A7" s="6">
        <f t="shared" si="0"/>
        <v>5</v>
      </c>
      <c r="B7" s="20">
        <v>6.9254999999999997E-2</v>
      </c>
    </row>
    <row r="8" spans="1:5" x14ac:dyDescent="0.25">
      <c r="A8" s="1">
        <f t="shared" si="0"/>
        <v>6</v>
      </c>
      <c r="B8" s="19">
        <v>6.232950000000001E-2</v>
      </c>
    </row>
    <row r="9" spans="1:5" x14ac:dyDescent="0.25">
      <c r="A9" s="6">
        <f t="shared" si="0"/>
        <v>7</v>
      </c>
      <c r="B9" s="20">
        <v>5.9048999999999997E-2</v>
      </c>
    </row>
    <row r="10" spans="1:5" x14ac:dyDescent="0.25">
      <c r="A10" s="1">
        <f t="shared" si="0"/>
        <v>8</v>
      </c>
      <c r="B10" s="19">
        <v>5.9048999999999997E-2</v>
      </c>
    </row>
    <row r="11" spans="1:5" x14ac:dyDescent="0.25">
      <c r="A11" s="6">
        <f t="shared" si="0"/>
        <v>9</v>
      </c>
      <c r="B11" s="20">
        <v>5.9048999999999997E-2</v>
      </c>
    </row>
    <row r="12" spans="1:5" x14ac:dyDescent="0.25">
      <c r="A12" s="1">
        <f t="shared" si="0"/>
        <v>10</v>
      </c>
      <c r="B12" s="19">
        <v>5.9048999999999997E-2</v>
      </c>
    </row>
    <row r="13" spans="1:5" x14ac:dyDescent="0.25">
      <c r="A13" s="6">
        <f t="shared" si="0"/>
        <v>11</v>
      </c>
      <c r="B13" s="20">
        <v>5.904899999999999E-2</v>
      </c>
    </row>
    <row r="14" spans="1:5" x14ac:dyDescent="0.25">
      <c r="A14" s="1">
        <f t="shared" si="0"/>
        <v>12</v>
      </c>
      <c r="B14" s="19">
        <v>5.9048999999999977E-2</v>
      </c>
    </row>
    <row r="15" spans="1:5" x14ac:dyDescent="0.25">
      <c r="A15" s="6">
        <f t="shared" si="0"/>
        <v>13</v>
      </c>
      <c r="B15" s="20">
        <v>5.9048999999999983E-2</v>
      </c>
    </row>
    <row r="16" spans="1:5" x14ac:dyDescent="0.25">
      <c r="A16" s="1">
        <f t="shared" si="0"/>
        <v>14</v>
      </c>
      <c r="B16" s="19">
        <v>5.904899999999999E-2</v>
      </c>
    </row>
    <row r="17" spans="1:2" x14ac:dyDescent="0.25">
      <c r="A17" s="6">
        <f t="shared" si="0"/>
        <v>15</v>
      </c>
      <c r="B17" s="20">
        <v>5.9048999999999977E-2</v>
      </c>
    </row>
    <row r="18" spans="1:2" x14ac:dyDescent="0.25">
      <c r="A18" s="1">
        <f t="shared" si="0"/>
        <v>16</v>
      </c>
      <c r="B18" s="19">
        <v>2.9524499999999995E-2</v>
      </c>
    </row>
    <row r="19" spans="1:2" x14ac:dyDescent="0.25">
      <c r="A19" s="6">
        <f t="shared" ref="A19:A21" si="1">1+A18</f>
        <v>17</v>
      </c>
      <c r="B19" s="20">
        <v>0</v>
      </c>
    </row>
    <row r="20" spans="1:2" x14ac:dyDescent="0.25">
      <c r="A20" s="1">
        <f t="shared" si="1"/>
        <v>18</v>
      </c>
      <c r="B20" s="19">
        <v>0</v>
      </c>
    </row>
    <row r="21" spans="1:2" x14ac:dyDescent="0.25">
      <c r="A21" s="6">
        <f t="shared" si="1"/>
        <v>19</v>
      </c>
      <c r="B21" s="20">
        <v>0</v>
      </c>
    </row>
    <row r="22" spans="1:2" x14ac:dyDescent="0.25">
      <c r="A22" s="1">
        <f>1+A21</f>
        <v>20</v>
      </c>
      <c r="B22" s="1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31D80D-2C36-490E-86CF-E0E89781E1B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fa1ab1-c51d-411d-a97a-ff65c9e224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5C70E5-8F59-47AD-BF26-7A88C885F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1324C-8B59-4D1D-8D5A-572C003F7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a1ab1-c51d-411d-a97a-ff65c9e22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B006F9-3731-46FD-9D34-DDB6A5986CE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CRF Table</vt:lpstr>
      <vt:lpstr>5 Year Term</vt:lpstr>
      <vt:lpstr>10 Year Term</vt:lpstr>
      <vt:lpstr>15 Year Term</vt:lpstr>
      <vt:lpstr>20 Year Term</vt:lpstr>
      <vt:lpstr>Model Assumptions</vt:lpstr>
      <vt:lpstr>Depreciation Factors</vt:lpstr>
    </vt:vector>
  </TitlesOfParts>
  <Company>Monitoring Analytics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Hyatt</dc:creator>
  <cp:lastModifiedBy>S. Krausen</cp:lastModifiedBy>
  <dcterms:created xsi:type="dcterms:W3CDTF">2023-05-19T17:43:05Z</dcterms:created>
  <dcterms:modified xsi:type="dcterms:W3CDTF">2024-06-07T13:26:39Z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_dlc_DocId">
    <vt:lpwstr>MUPMUYPVAE2Q-900932003-183858</vt:lpwstr>
  </property>
  <property fmtid="{D5CDD505-2E9C-101B-9397-08002B2CF9AE}" pid="4" name="_dlc_DocIdUrl">
    <vt:lpwstr>http://portal.ma.corp/Docs/_layouts/15/DocIdRedir.aspx?ID=MUPMUYPVAE2Q-900932003-183858, MUPMUYPVAE2Q-900932003-183858</vt:lpwstr>
  </property>
  <property fmtid="{D5CDD505-2E9C-101B-9397-08002B2CF9AE}" pid="5" name="_dlc_DocIdItemGuid">
    <vt:lpwstr>11d42216-ec05-466d-908f-819d33418dd4</vt:lpwstr>
  </property>
</Properties>
</file>