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9020" windowHeight="8580" activeTab="0"/>
  </bookViews>
  <sheets>
    <sheet name="Diesel " sheetId="1" r:id="rId1"/>
    <sheet name="CT 1st &amp; 2nd Generation Frame B" sheetId="2" r:id="rId2"/>
    <sheet name="CT 1st &amp; 2nd Generation Aero" sheetId="3" r:id="rId3"/>
    <sheet name="CT 2nd Generation Frame E" sheetId="4" r:id="rId4"/>
    <sheet name="CT 3rd Generation Frame F" sheetId="5" r:id="rId5"/>
    <sheet name="CT 3rd Generation Aero (P&amp;W)" sheetId="6" r:id="rId6"/>
    <sheet name="CT 3rd Generation Aero (LM6000)" sheetId="7" r:id="rId7"/>
    <sheet name="CC Three  on One Frame E " sheetId="8" r:id="rId8"/>
    <sheet name="CC Two on One Frame F" sheetId="9" r:id="rId9"/>
    <sheet name="CC Three+ on One+ Frame F " sheetId="10" r:id="rId10"/>
    <sheet name="CC NUG Cogen Frame B or E" sheetId="11" r:id="rId11"/>
    <sheet name="Oil &amp; Gas Fired Steam" sheetId="12" r:id="rId12"/>
    <sheet name="Sub-Critical Coal to 500 MW" sheetId="13" r:id="rId13"/>
    <sheet name="Super-Critical Coal to 600 MW" sheetId="14" r:id="rId14"/>
    <sheet name="Waste Coal 80 to 100 MW" sheetId="15" r:id="rId15"/>
    <sheet name="Waste Coal 500 MW" sheetId="16" r:id="rId16"/>
    <sheet name="Hydro 500 MW" sheetId="17" r:id="rId17"/>
    <sheet name="Pumped Storage 1000 MW" sheetId="18" r:id="rId18"/>
  </sheets>
  <externalReferences>
    <externalReference r:id="rId21"/>
    <externalReference r:id="rId22"/>
    <externalReference r:id="rId23"/>
  </externalReferences>
  <definedNames>
    <definedName name="AnnualDebtPmt" localSheetId="10">#REF!</definedName>
    <definedName name="AnnualDebtPmt" localSheetId="7">#REF!</definedName>
    <definedName name="AnnualDebtPmt" localSheetId="9">#REF!</definedName>
    <definedName name="AnnualDebtPmt" localSheetId="8">#REF!</definedName>
    <definedName name="AnnualDebtPmt" localSheetId="2">#REF!</definedName>
    <definedName name="AnnualDebtPmt" localSheetId="1">#REF!</definedName>
    <definedName name="AnnualDebtPmt" localSheetId="3">#REF!</definedName>
    <definedName name="AnnualDebtPmt" localSheetId="6">#REF!</definedName>
    <definedName name="AnnualDebtPmt" localSheetId="5">#REF!</definedName>
    <definedName name="AnnualDebtPmt" localSheetId="4">#REF!</definedName>
    <definedName name="AnnualDebtPmt" localSheetId="0">#REF!</definedName>
    <definedName name="AnnualDebtPmt" localSheetId="16">#REF!</definedName>
    <definedName name="AnnualDebtPmt" localSheetId="11">#REF!</definedName>
    <definedName name="AnnualDebtPmt" localSheetId="17">#REF!</definedName>
    <definedName name="AnnualDebtPmt" localSheetId="12">#REF!</definedName>
    <definedName name="AnnualDebtPmt" localSheetId="13">#REF!</definedName>
    <definedName name="AnnualDebtPmt" localSheetId="15">#REF!</definedName>
    <definedName name="AnnualDebtPmt" localSheetId="14">#REF!</definedName>
    <definedName name="AnnualDebtPmt">#REF!</definedName>
    <definedName name="BGE_Adjust_2" localSheetId="10">#REF!</definedName>
    <definedName name="BGE_Adjust_2" localSheetId="7">#REF!</definedName>
    <definedName name="BGE_Adjust_2" localSheetId="9">#REF!</definedName>
    <definedName name="BGE_Adjust_2" localSheetId="8">#REF!</definedName>
    <definedName name="BGE_Adjust_2" localSheetId="2">#REF!</definedName>
    <definedName name="BGE_Adjust_2" localSheetId="1">#REF!</definedName>
    <definedName name="BGE_Adjust_2" localSheetId="3">#REF!</definedName>
    <definedName name="BGE_Adjust_2" localSheetId="6">#REF!</definedName>
    <definedName name="BGE_Adjust_2" localSheetId="5">#REF!</definedName>
    <definedName name="BGE_Adjust_2" localSheetId="4">#REF!</definedName>
    <definedName name="BGE_Adjust_2" localSheetId="0">#REF!</definedName>
    <definedName name="BGE_Adjust_2" localSheetId="16">#REF!</definedName>
    <definedName name="BGE_Adjust_2" localSheetId="11">#REF!</definedName>
    <definedName name="BGE_Adjust_2" localSheetId="17">#REF!</definedName>
    <definedName name="BGE_Adjust_2" localSheetId="12">#REF!</definedName>
    <definedName name="BGE_Adjust_2" localSheetId="13">#REF!</definedName>
    <definedName name="BGE_Adjust_2" localSheetId="15">#REF!</definedName>
    <definedName name="BGE_Adjust_2" localSheetId="14">#REF!</definedName>
    <definedName name="BGE_Adjust_2">#REF!</definedName>
    <definedName name="BGE_EnergyAdjust" localSheetId="10">#REF!</definedName>
    <definedName name="BGE_EnergyAdjust" localSheetId="7">#REF!</definedName>
    <definedName name="BGE_EnergyAdjust" localSheetId="9">#REF!</definedName>
    <definedName name="BGE_EnergyAdjust" localSheetId="8">#REF!</definedName>
    <definedName name="BGE_EnergyAdjust" localSheetId="2">#REF!</definedName>
    <definedName name="BGE_EnergyAdjust" localSheetId="1">#REF!</definedName>
    <definedName name="BGE_EnergyAdjust" localSheetId="3">#REF!</definedName>
    <definedName name="BGE_EnergyAdjust" localSheetId="6">#REF!</definedName>
    <definedName name="BGE_EnergyAdjust" localSheetId="5">#REF!</definedName>
    <definedName name="BGE_EnergyAdjust" localSheetId="4">#REF!</definedName>
    <definedName name="BGE_EnergyAdjust" localSheetId="0">#REF!</definedName>
    <definedName name="BGE_EnergyAdjust" localSheetId="16">#REF!</definedName>
    <definedName name="BGE_EnergyAdjust" localSheetId="11">#REF!</definedName>
    <definedName name="BGE_EnergyAdjust" localSheetId="17">#REF!</definedName>
    <definedName name="BGE_EnergyAdjust" localSheetId="12">#REF!</definedName>
    <definedName name="BGE_EnergyAdjust" localSheetId="13">#REF!</definedName>
    <definedName name="BGE_EnergyAdjust" localSheetId="15">#REF!</definedName>
    <definedName name="BGE_EnergyAdjust" localSheetId="14">#REF!</definedName>
    <definedName name="BGE_EnergyAdjust">#REF!</definedName>
    <definedName name="CASHFLOW" localSheetId="10">#REF!</definedName>
    <definedName name="CASHFLOW" localSheetId="7">#REF!</definedName>
    <definedName name="CASHFLOW" localSheetId="9">#REF!</definedName>
    <definedName name="CASHFLOW" localSheetId="8">#REF!</definedName>
    <definedName name="CASHFLOW" localSheetId="2">#REF!</definedName>
    <definedName name="CASHFLOW" localSheetId="1">#REF!</definedName>
    <definedName name="CASHFLOW" localSheetId="3">#REF!</definedName>
    <definedName name="CASHFLOW" localSheetId="6">#REF!</definedName>
    <definedName name="CASHFLOW" localSheetId="5">#REF!</definedName>
    <definedName name="CASHFLOW" localSheetId="4">#REF!</definedName>
    <definedName name="CASHFLOW" localSheetId="0">#REF!</definedName>
    <definedName name="CASHFLOW" localSheetId="16">#REF!</definedName>
    <definedName name="CASHFLOW" localSheetId="11">#REF!</definedName>
    <definedName name="CASHFLOW" localSheetId="17">#REF!</definedName>
    <definedName name="CASHFLOW" localSheetId="12">#REF!</definedName>
    <definedName name="CASHFLOW" localSheetId="13">#REF!</definedName>
    <definedName name="CASHFLOW" localSheetId="15">#REF!</definedName>
    <definedName name="CASHFLOW" localSheetId="14">#REF!</definedName>
    <definedName name="CASHFLOW">#REF!</definedName>
    <definedName name="DSM?" localSheetId="10">#REF!</definedName>
    <definedName name="DSM?" localSheetId="7">#REF!</definedName>
    <definedName name="DSM?" localSheetId="9">#REF!</definedName>
    <definedName name="DSM?" localSheetId="8">#REF!</definedName>
    <definedName name="DSM?" localSheetId="2">#REF!</definedName>
    <definedName name="DSM?" localSheetId="1">#REF!</definedName>
    <definedName name="DSM?" localSheetId="3">#REF!</definedName>
    <definedName name="DSM?" localSheetId="6">#REF!</definedName>
    <definedName name="DSM?" localSheetId="5">#REF!</definedName>
    <definedName name="DSM?" localSheetId="4">#REF!</definedName>
    <definedName name="DSM?" localSheetId="0">#REF!</definedName>
    <definedName name="DSM?" localSheetId="16">#REF!</definedName>
    <definedName name="DSM?" localSheetId="11">#REF!</definedName>
    <definedName name="DSM?" localSheetId="17">#REF!</definedName>
    <definedName name="DSM?" localSheetId="12">#REF!</definedName>
    <definedName name="DSM?" localSheetId="13">#REF!</definedName>
    <definedName name="DSM?" localSheetId="15">#REF!</definedName>
    <definedName name="DSM?" localSheetId="14">#REF!</definedName>
    <definedName name="DSM?">#REF!</definedName>
    <definedName name="EPC_Contingency" localSheetId="10">#REF!</definedName>
    <definedName name="EPC_Contingency" localSheetId="7">#REF!</definedName>
    <definedName name="EPC_Contingency" localSheetId="9">#REF!</definedName>
    <definedName name="EPC_Contingency" localSheetId="8">#REF!</definedName>
    <definedName name="EPC_Contingency" localSheetId="2">#REF!</definedName>
    <definedName name="EPC_Contingency" localSheetId="1">#REF!</definedName>
    <definedName name="EPC_Contingency" localSheetId="3">#REF!</definedName>
    <definedName name="EPC_Contingency" localSheetId="6">#REF!</definedName>
    <definedName name="EPC_Contingency" localSheetId="5">#REF!</definedName>
    <definedName name="EPC_Contingency" localSheetId="4">#REF!</definedName>
    <definedName name="EPC_Contingency" localSheetId="0">#REF!</definedName>
    <definedName name="EPC_Contingency" localSheetId="16">#REF!</definedName>
    <definedName name="EPC_Contingency" localSheetId="11">#REF!</definedName>
    <definedName name="EPC_Contingency" localSheetId="17">#REF!</definedName>
    <definedName name="EPC_Contingency" localSheetId="12">#REF!</definedName>
    <definedName name="EPC_Contingency" localSheetId="13">#REF!</definedName>
    <definedName name="EPC_Contingency" localSheetId="15">#REF!</definedName>
    <definedName name="EPC_Contingency" localSheetId="14">#REF!</definedName>
    <definedName name="EPC_Contingency">#REF!</definedName>
    <definedName name="GasPriceChoice" localSheetId="10">#REF!</definedName>
    <definedName name="GasPriceChoice" localSheetId="7">#REF!</definedName>
    <definedName name="GasPriceChoice" localSheetId="9">#REF!</definedName>
    <definedName name="GasPriceChoice" localSheetId="8">#REF!</definedName>
    <definedName name="GasPriceChoice" localSheetId="2">#REF!</definedName>
    <definedName name="GasPriceChoice" localSheetId="1">#REF!</definedName>
    <definedName name="GasPriceChoice" localSheetId="3">#REF!</definedName>
    <definedName name="GasPriceChoice" localSheetId="6">#REF!</definedName>
    <definedName name="GasPriceChoice" localSheetId="5">#REF!</definedName>
    <definedName name="GasPriceChoice" localSheetId="4">#REF!</definedName>
    <definedName name="GasPriceChoice" localSheetId="0">#REF!</definedName>
    <definedName name="GasPriceChoice" localSheetId="16">#REF!</definedName>
    <definedName name="GasPriceChoice" localSheetId="11">#REF!</definedName>
    <definedName name="GasPriceChoice" localSheetId="17">#REF!</definedName>
    <definedName name="GasPriceChoice" localSheetId="12">#REF!</definedName>
    <definedName name="GasPriceChoice" localSheetId="13">#REF!</definedName>
    <definedName name="GasPriceChoice" localSheetId="15">#REF!</definedName>
    <definedName name="GasPriceChoice" localSheetId="14">#REF!</definedName>
    <definedName name="GasPriceChoice">#REF!</definedName>
    <definedName name="InflationRate">'[3]Summary'!$K$52</definedName>
    <definedName name="IRBs?" localSheetId="10">#REF!</definedName>
    <definedName name="IRBs?" localSheetId="7">#REF!</definedName>
    <definedName name="IRBs?" localSheetId="9">#REF!</definedName>
    <definedName name="IRBs?" localSheetId="8">#REF!</definedName>
    <definedName name="IRBs?" localSheetId="2">#REF!</definedName>
    <definedName name="IRBs?" localSheetId="1">#REF!</definedName>
    <definedName name="IRBs?" localSheetId="3">#REF!</definedName>
    <definedName name="IRBs?" localSheetId="6">#REF!</definedName>
    <definedName name="IRBs?" localSheetId="5">#REF!</definedName>
    <definedName name="IRBs?" localSheetId="4">#REF!</definedName>
    <definedName name="IRBs?" localSheetId="0">#REF!</definedName>
    <definedName name="IRBs?" localSheetId="16">#REF!</definedName>
    <definedName name="IRBs?" localSheetId="11">#REF!</definedName>
    <definedName name="IRBs?" localSheetId="17">#REF!</definedName>
    <definedName name="IRBs?" localSheetId="12">#REF!</definedName>
    <definedName name="IRBs?" localSheetId="13">#REF!</definedName>
    <definedName name="IRBs?" localSheetId="15">#REF!</definedName>
    <definedName name="IRBs?" localSheetId="14">#REF!</definedName>
    <definedName name="IRBs?">#REF!</definedName>
    <definedName name="MonthsConstruction">'[3]Summary'!#REF!</definedName>
    <definedName name="NGasStorageVolume" localSheetId="10">'[3]Summary'!#REF!</definedName>
    <definedName name="NGasStorageVolume" localSheetId="7">'[3]Summary'!#REF!</definedName>
    <definedName name="NGasStorageVolume" localSheetId="9">'[3]Summary'!#REF!</definedName>
    <definedName name="NGasStorageVolume" localSheetId="8">'[3]Summary'!#REF!</definedName>
    <definedName name="NGasStorageVolume" localSheetId="2">'[3]Summary'!#REF!</definedName>
    <definedName name="NGasStorageVolume" localSheetId="1">'[3]Summary'!#REF!</definedName>
    <definedName name="NGasStorageVolume" localSheetId="3">'[3]Summary'!#REF!</definedName>
    <definedName name="NGasStorageVolume" localSheetId="6">'[3]Summary'!#REF!</definedName>
    <definedName name="NGasStorageVolume" localSheetId="5">'[3]Summary'!#REF!</definedName>
    <definedName name="NGasStorageVolume" localSheetId="4">'[3]Summary'!#REF!</definedName>
    <definedName name="NGasStorageVolume" localSheetId="0">'[3]Summary'!#REF!</definedName>
    <definedName name="NGasStorageVolume" localSheetId="16">'[3]Summary'!#REF!</definedName>
    <definedName name="NGasStorageVolume" localSheetId="11">'[3]Summary'!#REF!</definedName>
    <definedName name="NGasStorageVolume" localSheetId="17">'[3]Summary'!#REF!</definedName>
    <definedName name="NGasStorageVolume" localSheetId="12">'[3]Summary'!#REF!</definedName>
    <definedName name="NGasStorageVolume" localSheetId="13">'[3]Summary'!#REF!</definedName>
    <definedName name="NGasStorageVolume" localSheetId="15">'[3]Summary'!#REF!</definedName>
    <definedName name="NGasStorageVolume" localSheetId="14">'[3]Summary'!#REF!</definedName>
    <definedName name="NGasStorageVolume">'[2]Summary'!#REF!</definedName>
    <definedName name="Percent_IRBs" localSheetId="10">'[3]Summary'!#REF!</definedName>
    <definedName name="Percent_IRBs" localSheetId="7">'[3]Summary'!#REF!</definedName>
    <definedName name="Percent_IRBs" localSheetId="9">'[3]Summary'!#REF!</definedName>
    <definedName name="Percent_IRBs" localSheetId="8">'[3]Summary'!#REF!</definedName>
    <definedName name="Percent_IRBs" localSheetId="2">'[3]Summary'!#REF!</definedName>
    <definedName name="Percent_IRBs" localSheetId="1">'[3]Summary'!#REF!</definedName>
    <definedName name="Percent_IRBs" localSheetId="3">'[3]Summary'!#REF!</definedName>
    <definedName name="Percent_IRBs" localSheetId="6">'[3]Summary'!#REF!</definedName>
    <definedName name="Percent_IRBs" localSheetId="5">'[3]Summary'!#REF!</definedName>
    <definedName name="Percent_IRBs" localSheetId="4">'[3]Summary'!#REF!</definedName>
    <definedName name="Percent_IRBs" localSheetId="0">'[3]Summary'!#REF!</definedName>
    <definedName name="Percent_IRBs" localSheetId="16">'[3]Summary'!#REF!</definedName>
    <definedName name="Percent_IRBs" localSheetId="11">'[3]Summary'!#REF!</definedName>
    <definedName name="Percent_IRBs" localSheetId="17">'[3]Summary'!#REF!</definedName>
    <definedName name="Percent_IRBs" localSheetId="12">'[3]Summary'!#REF!</definedName>
    <definedName name="Percent_IRBs" localSheetId="13">'[3]Summary'!#REF!</definedName>
    <definedName name="Percent_IRBs" localSheetId="15">'[3]Summary'!#REF!</definedName>
    <definedName name="Percent_IRBs" localSheetId="14">'[3]Summary'!#REF!</definedName>
    <definedName name="Percent_IRBs">'[2]Summary'!#REF!</definedName>
    <definedName name="PlantAvailability_1st2yrs" localSheetId="10">'[3]Summary'!#REF!</definedName>
    <definedName name="PlantAvailability_1st2yrs" localSheetId="7">'[3]Summary'!#REF!</definedName>
    <definedName name="PlantAvailability_1st2yrs" localSheetId="9">'[3]Summary'!#REF!</definedName>
    <definedName name="PlantAvailability_1st2yrs" localSheetId="8">'[3]Summary'!#REF!</definedName>
    <definedName name="PlantAvailability_1st2yrs" localSheetId="2">'[3]Summary'!#REF!</definedName>
    <definedName name="PlantAvailability_1st2yrs" localSheetId="1">'[3]Summary'!#REF!</definedName>
    <definedName name="PlantAvailability_1st2yrs" localSheetId="3">'[3]Summary'!#REF!</definedName>
    <definedName name="PlantAvailability_1st2yrs" localSheetId="6">'[3]Summary'!#REF!</definedName>
    <definedName name="PlantAvailability_1st2yrs" localSheetId="5">'[3]Summary'!#REF!</definedName>
    <definedName name="PlantAvailability_1st2yrs" localSheetId="4">'[3]Summary'!#REF!</definedName>
    <definedName name="PlantAvailability_1st2yrs" localSheetId="0">'[3]Summary'!#REF!</definedName>
    <definedName name="PlantAvailability_1st2yrs" localSheetId="16">'[3]Summary'!#REF!</definedName>
    <definedName name="PlantAvailability_1st2yrs" localSheetId="11">'[3]Summary'!#REF!</definedName>
    <definedName name="PlantAvailability_1st2yrs" localSheetId="17">'[3]Summary'!#REF!</definedName>
    <definedName name="PlantAvailability_1st2yrs" localSheetId="12">'[3]Summary'!#REF!</definedName>
    <definedName name="PlantAvailability_1st2yrs" localSheetId="13">'[3]Summary'!#REF!</definedName>
    <definedName name="PlantAvailability_1st2yrs" localSheetId="15">'[3]Summary'!#REF!</definedName>
    <definedName name="PlantAvailability_1st2yrs" localSheetId="14">'[3]Summary'!#REF!</definedName>
    <definedName name="PlantAvailability_1st2yrs">'[2]Summary'!#REF!</definedName>
    <definedName name="PlantAvailabilityTRIGEN" localSheetId="10">'[3]Summary'!#REF!</definedName>
    <definedName name="PlantAvailabilityTRIGEN" localSheetId="7">'[3]Summary'!#REF!</definedName>
    <definedName name="PlantAvailabilityTRIGEN" localSheetId="9">'[3]Summary'!#REF!</definedName>
    <definedName name="PlantAvailabilityTRIGEN" localSheetId="8">'[3]Summary'!#REF!</definedName>
    <definedName name="PlantAvailabilityTRIGEN" localSheetId="2">'[3]Summary'!#REF!</definedName>
    <definedName name="PlantAvailabilityTRIGEN" localSheetId="1">'[3]Summary'!#REF!</definedName>
    <definedName name="PlantAvailabilityTRIGEN" localSheetId="3">'[3]Summary'!#REF!</definedName>
    <definedName name="PlantAvailabilityTRIGEN" localSheetId="6">'[3]Summary'!#REF!</definedName>
    <definedName name="PlantAvailabilityTRIGEN" localSheetId="5">'[3]Summary'!#REF!</definedName>
    <definedName name="PlantAvailabilityTRIGEN" localSheetId="4">'[3]Summary'!#REF!</definedName>
    <definedName name="PlantAvailabilityTRIGEN" localSheetId="0">'[3]Summary'!#REF!</definedName>
    <definedName name="PlantAvailabilityTRIGEN" localSheetId="16">'[3]Summary'!#REF!</definedName>
    <definedName name="PlantAvailabilityTRIGEN" localSheetId="11">'[3]Summary'!#REF!</definedName>
    <definedName name="PlantAvailabilityTRIGEN" localSheetId="17">'[3]Summary'!#REF!</definedName>
    <definedName name="PlantAvailabilityTRIGEN" localSheetId="12">'[3]Summary'!#REF!</definedName>
    <definedName name="PlantAvailabilityTRIGEN" localSheetId="13">'[3]Summary'!#REF!</definedName>
    <definedName name="PlantAvailabilityTRIGEN" localSheetId="15">'[3]Summary'!#REF!</definedName>
    <definedName name="PlantAvailabilityTRIGEN" localSheetId="14">'[3]Summary'!#REF!</definedName>
    <definedName name="PlantAvailabilityTRIGEN">'[2]Summary'!#REF!</definedName>
    <definedName name="_xlnm.Print_Area" localSheetId="10">'CC NUG Cogen Frame B or E'!$A$1:$R$92</definedName>
    <definedName name="_xlnm.Print_Area" localSheetId="7">'CC Three  on One Frame E '!$A$1:$R$92</definedName>
    <definedName name="_xlnm.Print_Area" localSheetId="9">'CC Three+ on One+ Frame F '!$A$1:$R$92</definedName>
    <definedName name="_xlnm.Print_Area" localSheetId="8">'CC Two on One Frame F'!$A$1:$R$92</definedName>
    <definedName name="_xlnm.Print_Area" localSheetId="2">'CT 1st &amp; 2nd Generation Aero'!$A$1:$R$92</definedName>
    <definedName name="_xlnm.Print_Area" localSheetId="1">'CT 1st &amp; 2nd Generation Frame B'!$A$1:$R$92</definedName>
    <definedName name="_xlnm.Print_Area" localSheetId="3">'CT 2nd Generation Frame E'!$A$1:$R$92</definedName>
    <definedName name="_xlnm.Print_Area" localSheetId="6">'CT 3rd Generation Aero (LM6000)'!$A$1:$R$92</definedName>
    <definedName name="_xlnm.Print_Area" localSheetId="5">'CT 3rd Generation Aero (P&amp;W)'!$A$1:$R$92</definedName>
    <definedName name="_xlnm.Print_Area" localSheetId="4">'CT 3rd Generation Frame F'!$A$1:$R$92</definedName>
    <definedName name="_xlnm.Print_Area" localSheetId="0">'Diesel '!$A$1:$R$92</definedName>
    <definedName name="_xlnm.Print_Area" localSheetId="16">'Hydro 500 MW'!$A$1:$R$92</definedName>
    <definedName name="_xlnm.Print_Area" localSheetId="11">'Oil &amp; Gas Fired Steam'!$A$1:$R$92</definedName>
    <definedName name="_xlnm.Print_Area" localSheetId="17">'Pumped Storage 1000 MW'!$A$1:$R$92</definedName>
    <definedName name="_xlnm.Print_Area" localSheetId="12">'Sub-Critical Coal to 500 MW'!$A$1:$R$92</definedName>
    <definedName name="_xlnm.Print_Area" localSheetId="13">'Super-Critical Coal to 600 MW'!$A$1:$R$92</definedName>
    <definedName name="_xlnm.Print_Area" localSheetId="15">'Waste Coal 500 MW'!$A$1:$R$92</definedName>
    <definedName name="_xlnm.Print_Area" localSheetId="14">'Waste Coal 80 to 100 MW'!$A$1:$R$92</definedName>
    <definedName name="Project_Tax_Basis" localSheetId="10">#REF!</definedName>
    <definedName name="Project_Tax_Basis" localSheetId="7">#REF!</definedName>
    <definedName name="Project_Tax_Basis" localSheetId="9">#REF!</definedName>
    <definedName name="Project_Tax_Basis" localSheetId="8">#REF!</definedName>
    <definedName name="Project_Tax_Basis" localSheetId="2">#REF!</definedName>
    <definedName name="Project_Tax_Basis" localSheetId="1">#REF!</definedName>
    <definedName name="Project_Tax_Basis" localSheetId="3">#REF!</definedName>
    <definedName name="Project_Tax_Basis" localSheetId="6">#REF!</definedName>
    <definedName name="Project_Tax_Basis" localSheetId="5">#REF!</definedName>
    <definedName name="Project_Tax_Basis" localSheetId="4">#REF!</definedName>
    <definedName name="Project_Tax_Basis" localSheetId="0">#REF!</definedName>
    <definedName name="Project_Tax_Basis" localSheetId="16">#REF!</definedName>
    <definedName name="Project_Tax_Basis" localSheetId="11">#REF!</definedName>
    <definedName name="Project_Tax_Basis" localSheetId="17">#REF!</definedName>
    <definedName name="Project_Tax_Basis" localSheetId="12">#REF!</definedName>
    <definedName name="Project_Tax_Basis" localSheetId="13">#REF!</definedName>
    <definedName name="Project_Tax_Basis" localSheetId="15">#REF!</definedName>
    <definedName name="Project_Tax_Basis" localSheetId="14">#REF!</definedName>
    <definedName name="Project_Tax_Basis">#REF!</definedName>
    <definedName name="PropertyTaxEscrowAmt" localSheetId="10">'[3]Summary'!#REF!</definedName>
    <definedName name="PropertyTaxEscrowAmt" localSheetId="7">'[3]Summary'!#REF!</definedName>
    <definedName name="PropertyTaxEscrowAmt" localSheetId="9">'[3]Summary'!#REF!</definedName>
    <definedName name="PropertyTaxEscrowAmt" localSheetId="8">'[3]Summary'!#REF!</definedName>
    <definedName name="PropertyTaxEscrowAmt" localSheetId="2">'[3]Summary'!#REF!</definedName>
    <definedName name="PropertyTaxEscrowAmt" localSheetId="1">'[3]Summary'!#REF!</definedName>
    <definedName name="PropertyTaxEscrowAmt" localSheetId="3">'[3]Summary'!#REF!</definedName>
    <definedName name="PropertyTaxEscrowAmt" localSheetId="6">'[3]Summary'!#REF!</definedName>
    <definedName name="PropertyTaxEscrowAmt" localSheetId="5">'[3]Summary'!#REF!</definedName>
    <definedName name="PropertyTaxEscrowAmt" localSheetId="4">'[3]Summary'!#REF!</definedName>
    <definedName name="PropertyTaxEscrowAmt" localSheetId="0">'[3]Summary'!#REF!</definedName>
    <definedName name="PropertyTaxEscrowAmt" localSheetId="16">'[3]Summary'!#REF!</definedName>
    <definedName name="PropertyTaxEscrowAmt" localSheetId="11">'[3]Summary'!#REF!</definedName>
    <definedName name="PropertyTaxEscrowAmt" localSheetId="17">'[3]Summary'!#REF!</definedName>
    <definedName name="PropertyTaxEscrowAmt" localSheetId="12">'[3]Summary'!#REF!</definedName>
    <definedName name="PropertyTaxEscrowAmt" localSheetId="13">'[3]Summary'!#REF!</definedName>
    <definedName name="PropertyTaxEscrowAmt" localSheetId="15">'[3]Summary'!#REF!</definedName>
    <definedName name="PropertyTaxEscrowAmt" localSheetId="14">'[3]Summary'!#REF!</definedName>
    <definedName name="PropertyTaxEscrowAmt">'[2]Summary'!#REF!</definedName>
    <definedName name="Revision_Date" localSheetId="10">'[3]Summary'!#REF!</definedName>
    <definedName name="Revision_Date" localSheetId="7">'[3]Summary'!#REF!</definedName>
    <definedName name="Revision_Date" localSheetId="9">'[3]Summary'!#REF!</definedName>
    <definedName name="Revision_Date" localSheetId="8">'[3]Summary'!#REF!</definedName>
    <definedName name="Revision_Date" localSheetId="2">'[3]Summary'!#REF!</definedName>
    <definedName name="Revision_Date" localSheetId="1">'[3]Summary'!#REF!</definedName>
    <definedName name="Revision_Date" localSheetId="3">'[3]Summary'!#REF!</definedName>
    <definedName name="Revision_Date" localSheetId="6">'[3]Summary'!#REF!</definedName>
    <definedName name="Revision_Date" localSheetId="5">'[3]Summary'!#REF!</definedName>
    <definedName name="Revision_Date" localSheetId="4">'[3]Summary'!#REF!</definedName>
    <definedName name="Revision_Date" localSheetId="0">'[3]Summary'!#REF!</definedName>
    <definedName name="Revision_Date" localSheetId="16">'[3]Summary'!#REF!</definedName>
    <definedName name="Revision_Date" localSheetId="11">'[3]Summary'!#REF!</definedName>
    <definedName name="Revision_Date" localSheetId="17">'[3]Summary'!#REF!</definedName>
    <definedName name="Revision_Date" localSheetId="12">'[3]Summary'!#REF!</definedName>
    <definedName name="Revision_Date" localSheetId="13">'[3]Summary'!#REF!</definedName>
    <definedName name="Revision_Date" localSheetId="15">'[3]Summary'!#REF!</definedName>
    <definedName name="Revision_Date" localSheetId="14">'[3]Summary'!#REF!</definedName>
    <definedName name="Revision_Date">'[2]Summary'!#REF!</definedName>
    <definedName name="Revision_Number" localSheetId="10">'[3]Summary'!#REF!</definedName>
    <definedName name="Revision_Number" localSheetId="7">'[3]Summary'!#REF!</definedName>
    <definedName name="Revision_Number" localSheetId="9">'[3]Summary'!#REF!</definedName>
    <definedName name="Revision_Number" localSheetId="8">'[3]Summary'!#REF!</definedName>
    <definedName name="Revision_Number" localSheetId="2">'[3]Summary'!#REF!</definedName>
    <definedName name="Revision_Number" localSheetId="1">'[3]Summary'!#REF!</definedName>
    <definedName name="Revision_Number" localSheetId="3">'[3]Summary'!#REF!</definedName>
    <definedName name="Revision_Number" localSheetId="6">'[3]Summary'!#REF!</definedName>
    <definedName name="Revision_Number" localSheetId="5">'[3]Summary'!#REF!</definedName>
    <definedName name="Revision_Number" localSheetId="4">'[3]Summary'!#REF!</definedName>
    <definedName name="Revision_Number" localSheetId="0">'[3]Summary'!#REF!</definedName>
    <definedName name="Revision_Number" localSheetId="16">'[3]Summary'!#REF!</definedName>
    <definedName name="Revision_Number" localSheetId="11">'[3]Summary'!#REF!</definedName>
    <definedName name="Revision_Number" localSheetId="17">'[3]Summary'!#REF!</definedName>
    <definedName name="Revision_Number" localSheetId="12">'[3]Summary'!#REF!</definedName>
    <definedName name="Revision_Number" localSheetId="13">'[3]Summary'!#REF!</definedName>
    <definedName name="Revision_Number" localSheetId="15">'[3]Summary'!#REF!</definedName>
    <definedName name="Revision_Number" localSheetId="14">'[3]Summary'!#REF!</definedName>
    <definedName name="Revision_Number">'[2]Summary'!#REF!</definedName>
    <definedName name="StartofOperation">'[2]Summary'!$H$51</definedName>
    <definedName name="SteamRateAdjustFactor">'[2]Summary'!#REF!</definedName>
    <definedName name="TONHOURS" localSheetId="10">#REF!</definedName>
    <definedName name="TONHOURS" localSheetId="7">#REF!</definedName>
    <definedName name="TONHOURS" localSheetId="9">#REF!</definedName>
    <definedName name="TONHOURS" localSheetId="8">#REF!</definedName>
    <definedName name="TONHOURS" localSheetId="2">#REF!</definedName>
    <definedName name="TONHOURS" localSheetId="1">#REF!</definedName>
    <definedName name="TONHOURS" localSheetId="3">#REF!</definedName>
    <definedName name="TONHOURS" localSheetId="6">#REF!</definedName>
    <definedName name="TONHOURS" localSheetId="5">#REF!</definedName>
    <definedName name="TONHOURS" localSheetId="4">#REF!</definedName>
    <definedName name="TONHOURS" localSheetId="0">#REF!</definedName>
    <definedName name="TONHOURS" localSheetId="16">#REF!</definedName>
    <definedName name="TONHOURS" localSheetId="11">#REF!</definedName>
    <definedName name="TONHOURS" localSheetId="17">#REF!</definedName>
    <definedName name="TONHOURS" localSheetId="12">#REF!</definedName>
    <definedName name="TONHOURS" localSheetId="13">#REF!</definedName>
    <definedName name="TONHOURS" localSheetId="15">#REF!</definedName>
    <definedName name="TONHOURS" localSheetId="14">#REF!</definedName>
    <definedName name="TONHOURS">#REF!</definedName>
    <definedName name="UMAB_ContAmt" localSheetId="10">'[3]Summary'!#REF!</definedName>
    <definedName name="UMAB_ContAmt" localSheetId="7">'[3]Summary'!#REF!</definedName>
    <definedName name="UMAB_ContAmt" localSheetId="9">'[3]Summary'!#REF!</definedName>
    <definedName name="UMAB_ContAmt" localSheetId="8">'[3]Summary'!#REF!</definedName>
    <definedName name="UMAB_ContAmt" localSheetId="2">'[3]Summary'!#REF!</definedName>
    <definedName name="UMAB_ContAmt" localSheetId="1">'[3]Summary'!#REF!</definedName>
    <definedName name="UMAB_ContAmt" localSheetId="3">'[3]Summary'!#REF!</definedName>
    <definedName name="UMAB_ContAmt" localSheetId="6">'[3]Summary'!#REF!</definedName>
    <definedName name="UMAB_ContAmt" localSheetId="5">'[3]Summary'!#REF!</definedName>
    <definedName name="UMAB_ContAmt" localSheetId="4">'[3]Summary'!#REF!</definedName>
    <definedName name="UMAB_ContAmt" localSheetId="0">'[3]Summary'!#REF!</definedName>
    <definedName name="UMAB_ContAmt" localSheetId="16">'[3]Summary'!#REF!</definedName>
    <definedName name="UMAB_ContAmt" localSheetId="11">'[3]Summary'!#REF!</definedName>
    <definedName name="UMAB_ContAmt" localSheetId="17">'[3]Summary'!#REF!</definedName>
    <definedName name="UMAB_ContAmt" localSheetId="12">'[3]Summary'!#REF!</definedName>
    <definedName name="UMAB_ContAmt" localSheetId="13">'[3]Summary'!#REF!</definedName>
    <definedName name="UMAB_ContAmt" localSheetId="15">'[3]Summary'!#REF!</definedName>
    <definedName name="UMAB_ContAmt" localSheetId="14">'[3]Summary'!#REF!</definedName>
    <definedName name="UMAB_ContAmt">'[2]Summary'!#REF!</definedName>
    <definedName name="UMAB_INFL" localSheetId="10">'[3]Summary'!#REF!</definedName>
    <definedName name="UMAB_INFL" localSheetId="7">'[3]Summary'!#REF!</definedName>
    <definedName name="UMAB_INFL" localSheetId="9">'[3]Summary'!#REF!</definedName>
    <definedName name="UMAB_INFL" localSheetId="8">'[3]Summary'!#REF!</definedName>
    <definedName name="UMAB_INFL" localSheetId="2">'[3]Summary'!#REF!</definedName>
    <definedName name="UMAB_INFL" localSheetId="1">'[3]Summary'!#REF!</definedName>
    <definedName name="UMAB_INFL" localSheetId="3">'[3]Summary'!#REF!</definedName>
    <definedName name="UMAB_INFL" localSheetId="6">'[3]Summary'!#REF!</definedName>
    <definedName name="UMAB_INFL" localSheetId="5">'[3]Summary'!#REF!</definedName>
    <definedName name="UMAB_INFL" localSheetId="4">'[3]Summary'!#REF!</definedName>
    <definedName name="UMAB_INFL" localSheetId="0">'[3]Summary'!#REF!</definedName>
    <definedName name="UMAB_INFL" localSheetId="16">'[3]Summary'!#REF!</definedName>
    <definedName name="UMAB_INFL" localSheetId="11">'[3]Summary'!#REF!</definedName>
    <definedName name="UMAB_INFL" localSheetId="17">'[3]Summary'!#REF!</definedName>
    <definedName name="UMAB_INFL" localSheetId="12">'[3]Summary'!#REF!</definedName>
    <definedName name="UMAB_INFL" localSheetId="13">'[3]Summary'!#REF!</definedName>
    <definedName name="UMAB_INFL" localSheetId="15">'[3]Summary'!#REF!</definedName>
    <definedName name="UMAB_INFL" localSheetId="14">'[3]Summary'!#REF!</definedName>
    <definedName name="UMAB_INFL">'[2]Summary'!#REF!</definedName>
    <definedName name="UMABcontribution?" localSheetId="10">#REF!</definedName>
    <definedName name="UMABcontribution?" localSheetId="7">#REF!</definedName>
    <definedName name="UMABcontribution?" localSheetId="9">#REF!</definedName>
    <definedName name="UMABcontribution?" localSheetId="8">#REF!</definedName>
    <definedName name="UMABcontribution?" localSheetId="2">#REF!</definedName>
    <definedName name="UMABcontribution?" localSheetId="1">#REF!</definedName>
    <definedName name="UMABcontribution?" localSheetId="3">#REF!</definedName>
    <definedName name="UMABcontribution?" localSheetId="6">#REF!</definedName>
    <definedName name="UMABcontribution?" localSheetId="5">#REF!</definedName>
    <definedName name="UMABcontribution?" localSheetId="4">#REF!</definedName>
    <definedName name="UMABcontribution?" localSheetId="0">#REF!</definedName>
    <definedName name="UMABcontribution?" localSheetId="16">#REF!</definedName>
    <definedName name="UMABcontribution?" localSheetId="11">#REF!</definedName>
    <definedName name="UMABcontribution?" localSheetId="17">#REF!</definedName>
    <definedName name="UMABcontribution?" localSheetId="12">#REF!</definedName>
    <definedName name="UMABcontribution?" localSheetId="13">#REF!</definedName>
    <definedName name="UMABcontribution?" localSheetId="15">#REF!</definedName>
    <definedName name="UMABcontribution?" localSheetId="14">#REF!</definedName>
    <definedName name="UMABcontribution?">#REF!</definedName>
    <definedName name="UnallocCAP_Int" localSheetId="10">#REF!</definedName>
    <definedName name="UnallocCAP_Int" localSheetId="7">#REF!</definedName>
    <definedName name="UnallocCAP_Int" localSheetId="9">#REF!</definedName>
    <definedName name="UnallocCAP_Int" localSheetId="8">#REF!</definedName>
    <definedName name="UnallocCAP_Int" localSheetId="2">#REF!</definedName>
    <definedName name="UnallocCAP_Int" localSheetId="1">#REF!</definedName>
    <definedName name="UnallocCAP_Int" localSheetId="3">#REF!</definedName>
    <definedName name="UnallocCAP_Int" localSheetId="6">#REF!</definedName>
    <definedName name="UnallocCAP_Int" localSheetId="5">#REF!</definedName>
    <definedName name="UnallocCAP_Int" localSheetId="4">#REF!</definedName>
    <definedName name="UnallocCAP_Int" localSheetId="0">#REF!</definedName>
    <definedName name="UnallocCAP_Int" localSheetId="16">#REF!</definedName>
    <definedName name="UnallocCAP_Int" localSheetId="11">#REF!</definedName>
    <definedName name="UnallocCAP_Int" localSheetId="17">#REF!</definedName>
    <definedName name="UnallocCAP_Int" localSheetId="12">#REF!</definedName>
    <definedName name="UnallocCAP_Int" localSheetId="13">#REF!</definedName>
    <definedName name="UnallocCAP_Int" localSheetId="15">#REF!</definedName>
    <definedName name="UnallocCAP_Int" localSheetId="14">#REF!</definedName>
    <definedName name="UnallocCAP_Int">#REF!</definedName>
    <definedName name="UtilityDeposit" localSheetId="10">'[3]Summary'!#REF!</definedName>
    <definedName name="UtilityDeposit" localSheetId="7">'[3]Summary'!#REF!</definedName>
    <definedName name="UtilityDeposit" localSheetId="9">'[3]Summary'!#REF!</definedName>
    <definedName name="UtilityDeposit" localSheetId="8">'[3]Summary'!#REF!</definedName>
    <definedName name="UtilityDeposit" localSheetId="2">'[3]Summary'!#REF!</definedName>
    <definedName name="UtilityDeposit" localSheetId="1">'[3]Summary'!#REF!</definedName>
    <definedName name="UtilityDeposit" localSheetId="3">'[3]Summary'!#REF!</definedName>
    <definedName name="UtilityDeposit" localSheetId="6">'[3]Summary'!#REF!</definedName>
    <definedName name="UtilityDeposit" localSheetId="5">'[3]Summary'!#REF!</definedName>
    <definedName name="UtilityDeposit" localSheetId="4">'[3]Summary'!#REF!</definedName>
    <definedName name="UtilityDeposit" localSheetId="0">'[3]Summary'!#REF!</definedName>
    <definedName name="UtilityDeposit" localSheetId="16">'[3]Summary'!#REF!</definedName>
    <definedName name="UtilityDeposit" localSheetId="11">'[3]Summary'!#REF!</definedName>
    <definedName name="UtilityDeposit" localSheetId="17">'[3]Summary'!#REF!</definedName>
    <definedName name="UtilityDeposit" localSheetId="12">'[3]Summary'!#REF!</definedName>
    <definedName name="UtilityDeposit" localSheetId="13">'[3]Summary'!#REF!</definedName>
    <definedName name="UtilityDeposit" localSheetId="15">'[3]Summary'!#REF!</definedName>
    <definedName name="UtilityDeposit" localSheetId="14">'[3]Summary'!#REF!</definedName>
    <definedName name="UtilityDeposit">'[2]Summary'!#REF!</definedName>
    <definedName name="wrn.PJM._.New._.Entry._.CT._.Revenue._.Requirements." localSheetId="10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7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9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8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2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3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6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5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4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0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6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1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7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2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3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5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localSheetId="14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JM._.New._.Entry._.CT._.Revenue._.Requirements.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Turbine._.Inlet._.Cooling._.Project." localSheetId="10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7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9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8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2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3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6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5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4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0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6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1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7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2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3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5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localSheetId="14" hidden="1">{#N/A,#N/A,FALSE,"Summary";#N/A,#N/A,FALSE,"Income Statement";#N/A,#N/A,FALSE,"Cash Flow";#N/A,#N/A,FALSE,"Electric Schedule";#N/A,#N/A,FALSE,"Fuel Schedule";#N/A,#N/A,FALSE,"Staffing Schedule";#N/A,#N/A,FALSE,"EPC"}</definedName>
    <definedName name="wrn.Turbine._.Inlet._.Cooling._.Project." hidden="1">{#N/A,#N/A,FALSE,"Summary";#N/A,#N/A,FALSE,"Income Statement";#N/A,#N/A,FALSE,"Cash Flow";#N/A,#N/A,FALSE,"Electric Schedule";#N/A,#N/A,FALSE,"Fuel Schedule";#N/A,#N/A,FALSE,"Staffing Schedule";#N/A,#N/A,FALSE,"EPC"}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<sst xmlns="http://schemas.openxmlformats.org/spreadsheetml/2006/main" count="7231" uniqueCount="343">
  <si>
    <t>PJM RPM DEFAULT AVOIDABLE COST RATE PROXY</t>
  </si>
  <si>
    <t>CATEGORY - COAL</t>
  </si>
  <si>
    <t>Instructions to Participant</t>
  </si>
  <si>
    <t>Participant to complete all cells in blue text.</t>
  </si>
  <si>
    <t xml:space="preserve">Section 1 - Power Plant Technology </t>
  </si>
  <si>
    <t>Section 3B - Boiler - Steam Turbine Plant Technical Information</t>
  </si>
  <si>
    <t>Technology Options Located in Section 3 Drop Downs</t>
  </si>
  <si>
    <t xml:space="preserve">Combustion Turbine - Diesel </t>
  </si>
  <si>
    <t>Primary Fuel</t>
  </si>
  <si>
    <t>Waste Coal</t>
  </si>
  <si>
    <t>Primary Fuels</t>
  </si>
  <si>
    <t>Gas</t>
  </si>
  <si>
    <t>Landfill Gas</t>
  </si>
  <si>
    <t xml:space="preserve">Kero </t>
  </si>
  <si>
    <t>No. 2 Oil</t>
  </si>
  <si>
    <t>No. 6 Oil</t>
  </si>
  <si>
    <t>Coal</t>
  </si>
  <si>
    <t>MSW</t>
  </si>
  <si>
    <t>Biomass</t>
  </si>
  <si>
    <t>Combined Cycle</t>
  </si>
  <si>
    <t>Back Up Fuel</t>
  </si>
  <si>
    <t>CT Backup Fuels</t>
  </si>
  <si>
    <t>None</t>
  </si>
  <si>
    <t xml:space="preserve">Oil or Gas Steam </t>
  </si>
  <si>
    <t>Boiler OEM</t>
  </si>
  <si>
    <t>Foster Wheeler</t>
  </si>
  <si>
    <t>Steam Backup Fuels</t>
  </si>
  <si>
    <t>Sub-Critical Coal</t>
  </si>
  <si>
    <t xml:space="preserve">Boiler Design Configuration </t>
  </si>
  <si>
    <t>Circ. Fluid Bed</t>
  </si>
  <si>
    <t>Compressors</t>
  </si>
  <si>
    <t>Yes</t>
  </si>
  <si>
    <t>No</t>
  </si>
  <si>
    <t>Not Available</t>
  </si>
  <si>
    <t>Super-Critical Coal</t>
  </si>
  <si>
    <t>Boiler HP Steam Rating (Lbs/Hr)</t>
  </si>
  <si>
    <t>CT Diesel OEM</t>
  </si>
  <si>
    <t>GE</t>
  </si>
  <si>
    <t>ABB</t>
  </si>
  <si>
    <t>Siemens</t>
  </si>
  <si>
    <t>Westinghouse</t>
  </si>
  <si>
    <t>Pratt &amp; Whitney</t>
  </si>
  <si>
    <t>Solar</t>
  </si>
  <si>
    <t>Caterpillar</t>
  </si>
  <si>
    <t>Other</t>
  </si>
  <si>
    <t>Number of Boilers</t>
  </si>
  <si>
    <t>STG OEM</t>
  </si>
  <si>
    <t>Mitsubishi</t>
  </si>
  <si>
    <t>Elliott</t>
  </si>
  <si>
    <t>DeLaval</t>
  </si>
  <si>
    <t>Hydro</t>
  </si>
  <si>
    <t>Boiler HP Pressure/Temperature</t>
  </si>
  <si>
    <t>1,500/950</t>
  </si>
  <si>
    <t>CT Emissions Controls</t>
  </si>
  <si>
    <t>Water Injection</t>
  </si>
  <si>
    <t>Steam Injection</t>
  </si>
  <si>
    <t>Dry Low Nox</t>
  </si>
  <si>
    <t>Pumped Storage</t>
  </si>
  <si>
    <t>Boiler Reheat Pressure/Temperature</t>
  </si>
  <si>
    <t>NA</t>
  </si>
  <si>
    <t>HRSG Emissions Controls</t>
  </si>
  <si>
    <t>SCR</t>
  </si>
  <si>
    <t>CO Catalyst</t>
  </si>
  <si>
    <t>SCR/CO Catalyst</t>
  </si>
  <si>
    <t>Urea Injection</t>
  </si>
  <si>
    <t>Fuel Input at Rated Capacity (MMBTU/Hr) (HHV)</t>
  </si>
  <si>
    <t>Condenser Cooling System</t>
  </si>
  <si>
    <t>Wet Cooling Tower</t>
  </si>
  <si>
    <t>Air Condenser</t>
  </si>
  <si>
    <t>River Water</t>
  </si>
  <si>
    <t>Cooling Pond</t>
  </si>
  <si>
    <t>Date</t>
  </si>
  <si>
    <t>TIC</t>
  </si>
  <si>
    <t>Evaporative</t>
  </si>
  <si>
    <t>Fogging</t>
  </si>
  <si>
    <t>Electric Mechanical</t>
  </si>
  <si>
    <t>Steam Absorption</t>
  </si>
  <si>
    <t>Wet Compression</t>
  </si>
  <si>
    <t xml:space="preserve">Other </t>
  </si>
  <si>
    <t>LDA</t>
  </si>
  <si>
    <t>STG Capacity (MW)</t>
  </si>
  <si>
    <t>Babcock Wilcox</t>
  </si>
  <si>
    <t>Combustion Engineering</t>
  </si>
  <si>
    <t>Zurn</t>
  </si>
  <si>
    <t>ORG_ID</t>
  </si>
  <si>
    <t>STG Water Rate (Lbs/kWh)</t>
  </si>
  <si>
    <t>Front Wall Fired</t>
  </si>
  <si>
    <t>Tangential Fired</t>
  </si>
  <si>
    <t>Down Fired</t>
  </si>
  <si>
    <t>Unit ID</t>
  </si>
  <si>
    <t xml:space="preserve">Primary Boiler Nox Control </t>
  </si>
  <si>
    <t>Overfire Air</t>
  </si>
  <si>
    <t xml:space="preserve">Boiler Nox Control </t>
  </si>
  <si>
    <t>Low Nox Burners</t>
  </si>
  <si>
    <t>Flue Gas Recirculation</t>
  </si>
  <si>
    <t>Plant Commercial Operation Year</t>
  </si>
  <si>
    <t xml:space="preserve">Secondary Boiler Nox Control </t>
  </si>
  <si>
    <t>Particulate Control</t>
  </si>
  <si>
    <t>Cyclones</t>
  </si>
  <si>
    <t>Wet Scrubber</t>
  </si>
  <si>
    <t>ESP</t>
  </si>
  <si>
    <t>Bag House</t>
  </si>
  <si>
    <t>Capacity Planning Year (Start June 1 to Finish May 31)</t>
  </si>
  <si>
    <t>Primary Particulate Control</t>
  </si>
  <si>
    <t>SO2 Control</t>
  </si>
  <si>
    <t>Dry Injection</t>
  </si>
  <si>
    <t>Age of Plant</t>
  </si>
  <si>
    <t>Secondary Particulate Control</t>
  </si>
  <si>
    <t>Net Plant Heat Rate (BTU/kWh) (HHV)</t>
  </si>
  <si>
    <t>Tertiary Particulate Control</t>
  </si>
  <si>
    <t>Current Plant Value ($Million)</t>
  </si>
  <si>
    <t>MAAC Region and APS</t>
  </si>
  <si>
    <t>Plant Value ($/kW)</t>
  </si>
  <si>
    <t xml:space="preserve">Number of STG </t>
  </si>
  <si>
    <t>ComEd, AEP, Dayton, Dominion and Duquesne</t>
  </si>
  <si>
    <t>ICAP (MW)</t>
  </si>
  <si>
    <t xml:space="preserve">Condenser Cooling System </t>
  </si>
  <si>
    <t>Eastern MAAC</t>
  </si>
  <si>
    <t xml:space="preserve">EFORd </t>
  </si>
  <si>
    <t>Southwestern MAAC</t>
  </si>
  <si>
    <t>UCAP (MW)</t>
  </si>
  <si>
    <t>ACR ICAP Based</t>
  </si>
  <si>
    <t>ACR UCAP Based</t>
  </si>
  <si>
    <t>Section 3A - Simple Cycle CT, Diesel or Combined Cycle Technical Information</t>
  </si>
  <si>
    <t xml:space="preserve">Primary Fuel </t>
  </si>
  <si>
    <t>Section 13 - Avoidable Cost Rate (ARC) Calculation ($/MW-Day) (ICAP BASED)</t>
  </si>
  <si>
    <t xml:space="preserve">Back Up Fuel </t>
  </si>
  <si>
    <t>Avoidable Cost Rate  =</t>
  </si>
  <si>
    <t xml:space="preserve">    [ 1.10     x </t>
  </si>
  <si>
    <t>( AOML    +</t>
  </si>
  <si>
    <t>AAE   +</t>
  </si>
  <si>
    <t>AME   +</t>
  </si>
  <si>
    <t>AVE   +</t>
  </si>
  <si>
    <t>ATFI    +</t>
  </si>
  <si>
    <t>ACC   +</t>
  </si>
  <si>
    <t>ACLE )   +</t>
  </si>
  <si>
    <t>APIR ]</t>
  </si>
  <si>
    <t xml:space="preserve">On Site Natural Gas Compression </t>
  </si>
  <si>
    <t>CT or Diesel OEM</t>
  </si>
  <si>
    <t>CT or Diesel Model</t>
  </si>
  <si>
    <t>PG7241FA</t>
  </si>
  <si>
    <t>Section 12 - Summary (ICAP Basis)</t>
  </si>
  <si>
    <t>CT or Diesel Rating at ISO (MW)</t>
  </si>
  <si>
    <t>Fixed Operating Expenses</t>
  </si>
  <si>
    <t>In Capacity Market</t>
  </si>
  <si>
    <t>Base ($/MW-Yr)</t>
  </si>
  <si>
    <t>Base  ($/MW-Day)</t>
  </si>
  <si>
    <t>Not in Market</t>
  </si>
  <si>
    <t>% Avoidable</t>
  </si>
  <si>
    <t>Avoidable</t>
  </si>
  <si>
    <t>Avoidable ($/MW-Yr)</t>
  </si>
  <si>
    <t>Avoidable ($/MW-Day)</t>
  </si>
  <si>
    <t xml:space="preserve">Number of CT or Diesel Units </t>
  </si>
  <si>
    <t>Operations and Maintenance Labor (AOML)</t>
  </si>
  <si>
    <t>Administrative Expenses (AAE)</t>
  </si>
  <si>
    <t>Maintenance Expenses (AME)</t>
  </si>
  <si>
    <t>Variable Expenses (AVE)</t>
  </si>
  <si>
    <t>Per HRSG Duct Burner Capacity (MMBTU/Hr) (HHV)</t>
  </si>
  <si>
    <t>Taxes Fees and Insurance (ATFI)</t>
  </si>
  <si>
    <t>CT/Diesel Nox Control Type</t>
  </si>
  <si>
    <t>Carrying Charges (ACC)</t>
  </si>
  <si>
    <t xml:space="preserve">CT/Diesel Exhaust Nox Control </t>
  </si>
  <si>
    <t>Corporate Level Expenses (ACLE)</t>
  </si>
  <si>
    <t>HRSG HP Pressure/Temperature</t>
  </si>
  <si>
    <t>2,000/1,000</t>
  </si>
  <si>
    <t>Project Investment Recovery Rate (APIR)</t>
  </si>
  <si>
    <t>HRSG Reheat Pressure/Temperature</t>
  </si>
  <si>
    <t>600/1,000</t>
  </si>
  <si>
    <t>Total</t>
  </si>
  <si>
    <t>Average Steam Export Flow to Host (Lbs/Hr)</t>
  </si>
  <si>
    <t>Average Electric Export Flow to Host (MW)</t>
  </si>
  <si>
    <t>Section 4 - Operations and Maintenance Labor (AOML)</t>
  </si>
  <si>
    <t>Base</t>
  </si>
  <si>
    <t>Section 11A - Project Investment - PI</t>
  </si>
  <si>
    <t>Operations and Maintenance</t>
  </si>
  <si>
    <t>Equipment Cost</t>
  </si>
  <si>
    <t>Turbine Inlet Air Cooling Technology (TIC)</t>
  </si>
  <si>
    <t>Section 5 - Administrative Expense (AAE)</t>
  </si>
  <si>
    <t>Installation Cost</t>
  </si>
  <si>
    <t>Target Inlet Temperature if Mechanical TIC</t>
  </si>
  <si>
    <t>Administrative Salaries</t>
  </si>
  <si>
    <t>Interconnection Costs</t>
  </si>
  <si>
    <t>Section 3C - Hydro and Pumped Storage</t>
  </si>
  <si>
    <t xml:space="preserve">Employee Expenses </t>
  </si>
  <si>
    <t>Equipment Spares</t>
  </si>
  <si>
    <t>Turbine OEM</t>
  </si>
  <si>
    <t>Environmental Fees</t>
  </si>
  <si>
    <t>Mobilization and Startup</t>
  </si>
  <si>
    <t>Number of Turbines</t>
  </si>
  <si>
    <t xml:space="preserve">Safety &amp; Operator Training </t>
  </si>
  <si>
    <t>Land Purchases</t>
  </si>
  <si>
    <t>Turbine Capacity (MW)</t>
  </si>
  <si>
    <t xml:space="preserve">Office Supplies </t>
  </si>
  <si>
    <t>Development Expenses</t>
  </si>
  <si>
    <t xml:space="preserve">Pump OEM </t>
  </si>
  <si>
    <t xml:space="preserve">Communications </t>
  </si>
  <si>
    <t>Legal Fees</t>
  </si>
  <si>
    <t>Number of Pumps</t>
  </si>
  <si>
    <t>Annual Plant Tests, Inspections &amp; Analysis</t>
  </si>
  <si>
    <t>Air, EIS, Land Use &amp; FERC Permits</t>
  </si>
  <si>
    <t>Interest During Construction</t>
  </si>
  <si>
    <t>Section 6 - Maintenance Expense (AME) (Non-CDTF)</t>
  </si>
  <si>
    <t>Owners Contingency</t>
  </si>
  <si>
    <t>Maintenance Parts</t>
  </si>
  <si>
    <t>Total Project Investment</t>
  </si>
  <si>
    <t>Maintenance Contract Services</t>
  </si>
  <si>
    <t>Chemicals &amp; Materials Consumed</t>
  </si>
  <si>
    <t>Remaining Life of Plant</t>
  </si>
  <si>
    <t xml:space="preserve">Rented Equipment </t>
  </si>
  <si>
    <t>Entitled Plant CRF</t>
  </si>
  <si>
    <t>Project Investment Recovery Rate</t>
  </si>
  <si>
    <t>Section 7 - Variable Expense (AVE) (Non-CDTF)</t>
  </si>
  <si>
    <t>Age of Existing Units (Years)</t>
  </si>
  <si>
    <t>Remaining Life of Plant (Years)</t>
  </si>
  <si>
    <t>Current Levelized CRF</t>
  </si>
  <si>
    <t>Water Treatment Chemicals</t>
  </si>
  <si>
    <t>1 to 5</t>
  </si>
  <si>
    <t>Lubricants</t>
  </si>
  <si>
    <t>6 to 10</t>
  </si>
  <si>
    <t xml:space="preserve">Water (Not for Power Generation) </t>
  </si>
  <si>
    <t>11 to 15</t>
  </si>
  <si>
    <t xml:space="preserve">Gas (Not for Power Generation) </t>
  </si>
  <si>
    <t>16 Plus</t>
  </si>
  <si>
    <t xml:space="preserve">Electric (Not for Power Generation) </t>
  </si>
  <si>
    <t>CapEx</t>
  </si>
  <si>
    <t>Waste Water Treatment</t>
  </si>
  <si>
    <t>40 Plus</t>
  </si>
  <si>
    <t>Section 8 - Taxes Fees and Insurance (ATFI)</t>
  </si>
  <si>
    <t>Section 9A - Liquid Fuel Inventory</t>
  </si>
  <si>
    <t xml:space="preserve">Annual Insurance Premium </t>
  </si>
  <si>
    <t>Inventory (Days)</t>
  </si>
  <si>
    <t>Permits and Licensing Fees</t>
  </si>
  <si>
    <t>Oil Heating Value (BTU/Gallon)</t>
  </si>
  <si>
    <t>Site Security and Utilities</t>
  </si>
  <si>
    <t>Burn Rate (Gallons/Hr)</t>
  </si>
  <si>
    <t>Annual Property Tax Payment</t>
  </si>
  <si>
    <t>Gallons In Inventory</t>
  </si>
  <si>
    <t>Oil Price ($/Gallon) (Delivered)</t>
  </si>
  <si>
    <t>Section 9 - Carrying Charges (ACC)</t>
  </si>
  <si>
    <t>Section 9B - Coal Inventory</t>
  </si>
  <si>
    <t xml:space="preserve">Spare Parts Inventory </t>
  </si>
  <si>
    <t xml:space="preserve">Fuel Inventory </t>
  </si>
  <si>
    <t>Coal Heating Value (BTU/Lb)</t>
  </si>
  <si>
    <t xml:space="preserve">Other Inventory </t>
  </si>
  <si>
    <t>Burn Rate (Tons/Hr)</t>
  </si>
  <si>
    <t>Tons In Inventory</t>
  </si>
  <si>
    <t>Carrying Cost Rate (%)</t>
  </si>
  <si>
    <t>Coal Price ($/Ton) (Delivered)</t>
  </si>
  <si>
    <t xml:space="preserve">Carrying Cost </t>
  </si>
  <si>
    <t>Fuel Heating Values (BTU/Gallon)</t>
  </si>
  <si>
    <t>Section 10 - Corporate Level Expenses (ACLE)</t>
  </si>
  <si>
    <t>Kero</t>
  </si>
  <si>
    <t>Legal Services</t>
  </si>
  <si>
    <t>Environmental Reporting</t>
  </si>
  <si>
    <t>Procurement Expenses</t>
  </si>
  <si>
    <t>Section 11 - Project Investment Recovery Rate (APIR)</t>
  </si>
  <si>
    <t>2,600/1000</t>
  </si>
  <si>
    <t>600/1000</t>
  </si>
  <si>
    <t>Dry Lime Injection</t>
  </si>
  <si>
    <t>SUB CATEGORY -  SUPER CRITICAL COAL</t>
  </si>
  <si>
    <t>3,600/1,050</t>
  </si>
  <si>
    <t>500/1,050</t>
  </si>
  <si>
    <t>SUB CATEGORY -  SUB-CRITICAL COAL</t>
  </si>
  <si>
    <t>2,600/1,000</t>
  </si>
  <si>
    <t>400/1,000</t>
  </si>
  <si>
    <t>CATEGORY - OIL AND GAS STEAM</t>
  </si>
  <si>
    <t>1,800/950</t>
  </si>
  <si>
    <t>CATEGORY - COMBINED CYCLE</t>
  </si>
  <si>
    <t>CATEGORY - COMBUSTION TURBINE</t>
  </si>
  <si>
    <t>PG7121EA</t>
  </si>
  <si>
    <t>SUB CATEGORY -  THIRD GENERATION AERO TECHNOLOGY (GE LM 6000)</t>
  </si>
  <si>
    <t>LM 6000</t>
  </si>
  <si>
    <t>FT8 TwinPak</t>
  </si>
  <si>
    <t>Frame 5B</t>
  </si>
  <si>
    <t>FT 4A8</t>
  </si>
  <si>
    <t>CATEGORY - HYDRO</t>
  </si>
  <si>
    <t>750/750</t>
  </si>
  <si>
    <t>V84.2</t>
  </si>
  <si>
    <t>CATEGORY - DIESEL</t>
  </si>
  <si>
    <t>CATEGORY - PUMPED STORAGE</t>
  </si>
  <si>
    <t>A = Cyclic Starting Factor</t>
  </si>
  <si>
    <t>B = Cyclic Peaking Factor</t>
  </si>
  <si>
    <t>Z = Total Unit Operating Hours at any load level</t>
  </si>
  <si>
    <t>Y =  Hours above base load temperture limit</t>
  </si>
  <si>
    <r>
      <t xml:space="preserve">Equivalent Service Hours </t>
    </r>
    <r>
      <rPr>
        <b/>
        <i/>
        <sz val="10"/>
        <rFont val="Arial"/>
        <family val="2"/>
      </rPr>
      <t>(ESH) = (A x number of starts) + Z hours + (B x Y hours)</t>
    </r>
  </si>
  <si>
    <t>Number of Starts</t>
  </si>
  <si>
    <t>ESH =</t>
  </si>
  <si>
    <t>(A  x</t>
  </si>
  <si>
    <t>Number of Starts) +</t>
  </si>
  <si>
    <t>Z +</t>
  </si>
  <si>
    <t>(B x</t>
  </si>
  <si>
    <t>Y )</t>
  </si>
  <si>
    <t>Historical VOM ($/MWH)</t>
  </si>
  <si>
    <t>Annual Production (MWh)</t>
  </si>
  <si>
    <t>Equivalent Fixed Costs ($/MW-Day)</t>
  </si>
  <si>
    <t>ESH  Calculation</t>
  </si>
  <si>
    <t>1. Combustion Inspections Parts and Labor</t>
  </si>
  <si>
    <t>2. Hot Gas Path Inspections Part and Labor</t>
  </si>
  <si>
    <t>3. Major Overhauls Parts and Labor</t>
  </si>
  <si>
    <t>Plant Historical Annual CDTF Maintenance Dollars ($)</t>
  </si>
  <si>
    <t>Historical VOM ($/Hour)</t>
  </si>
  <si>
    <t>SUB CATEGORY -  NUG COGENERATION FRAME B OR E TECHNOLOGY</t>
  </si>
  <si>
    <t>SUB CATEGORY -  THREE OR MORE ON ONE OR MORE FRAME F TECHNOLOGY</t>
  </si>
  <si>
    <t>SUB CATEGORY -  THREE ON ONE FRAME E TECHNOLOGY</t>
  </si>
  <si>
    <t>SUB CATEGORY -  TWO ON ONE FRAME F TECHNOLOGY</t>
  </si>
  <si>
    <t>ONE OR MORE UNITS AT ONE SITE</t>
  </si>
  <si>
    <t>Example Calculation of Cost Development Guidelines Variable Operations and Maintenance</t>
  </si>
  <si>
    <t>Maintenance Activities Included in CDG VOM</t>
  </si>
  <si>
    <t>Variable O&amp;M Estimates - Frame Unit - Using Cost Development Guidelines (CDG) Manual</t>
  </si>
  <si>
    <t>These Costs Are Not Includable in the Avoided Costs Submittal</t>
  </si>
  <si>
    <t>Expense ($ per MWh and $ per MW-Day)</t>
  </si>
  <si>
    <t>Base Staffing</t>
  </si>
  <si>
    <t>$/Staff -Year</t>
  </si>
  <si>
    <t>Section 2B - Non Avoidable Cost Data</t>
  </si>
  <si>
    <t>Transistion Adder ($/MW-Day)</t>
  </si>
  <si>
    <t>Opportunity Cost ($/MW-Day)</t>
  </si>
  <si>
    <t>Opportunity Cost Justification</t>
  </si>
  <si>
    <t>Alphanumeric - 50</t>
  </si>
  <si>
    <t>Energy Market Net Revenue Components</t>
  </si>
  <si>
    <t>Ancillary Services Net Revenue Components</t>
  </si>
  <si>
    <t>Energy Market Cost Components</t>
  </si>
  <si>
    <t>Other Cost Components</t>
  </si>
  <si>
    <t>Section 2A - General Unit Data</t>
  </si>
  <si>
    <t>SUB CATEGORY -  SECOND GENERATION FRAME E TECHNOLOGY</t>
  </si>
  <si>
    <t>SUB CATEGORY -  THIRD GENERATION FRAME F TECHNOLOGY</t>
  </si>
  <si>
    <t>Cells in black text are calculated values</t>
  </si>
  <si>
    <t>Generation owners should provide 2006 data. If 2006 data is not available in a timely manner to meet the February deadline, generation owners may provide an estimate of 2006 data based on 2005 data adjusted with the identified escalation factor.</t>
  </si>
  <si>
    <t>Opportunity Cost (MW)</t>
  </si>
  <si>
    <t>Optional</t>
  </si>
  <si>
    <t>SUB CATEGORY -  FIRST AND SECOND GENERATION FRAME B TECHNOLOGY</t>
  </si>
  <si>
    <t>SUB CATEGORY -  FIRST AND SECOND GENERATION AERO TECHNOLOGY (P&amp;W FT4)</t>
  </si>
  <si>
    <t>SUB CATEGORY -  THIRD GENERATION AERO TECHNOLOGY (PRATT &amp; WHITNEY FT8 TWINPAK)</t>
  </si>
  <si>
    <t>SUB CATEGORY -   WASTE COAL 80 to 100 MW</t>
  </si>
  <si>
    <t>SUB CATEGORY -  WASTE COAL 500 MW</t>
  </si>
  <si>
    <t xml:space="preserve">to save the spreadsheet under a new file name prior to making input changes.    </t>
  </si>
  <si>
    <t xml:space="preserve">different in format and will require the user to transfer data onto the final ACR </t>
  </si>
  <si>
    <t xml:space="preserve">This work sheet provides the input and calculation template used in the development of the </t>
  </si>
  <si>
    <t xml:space="preserve">default Avoidable Cost Rate ("ACR") for a particular technology. The user is advised </t>
  </si>
  <si>
    <t>will be made available to the participant.</t>
  </si>
  <si>
    <t xml:space="preserve">template prior to uploading to PJM.  Instructions on the use of the final template </t>
  </si>
  <si>
    <t>Notice to the Participant in the Use of this Template</t>
  </si>
  <si>
    <t xml:space="preserve">Be advised that the final template used for uploading of a unit ACR to PJM may be slightly </t>
  </si>
  <si>
    <t>Based on 2005 data not escalated to 2006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</si>
</sst>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mmmm\ d\,\ yyyy"/>
    <numFmt numFmtId="168" formatCode="0.000%"/>
    <numFmt numFmtId="169" formatCode="&quot;$&quot;#,##0.000_);\(&quot;$&quot;#,##0.000\)"/>
    <numFmt numFmtId="170" formatCode="m/d/yy\ h:mm\ AM/PM"/>
    <numFmt numFmtId="171" formatCode="#,##0.0"/>
    <numFmt numFmtId="172" formatCode="0.00%;\(0.00\)%"/>
    <numFmt numFmtId="173" formatCode="0%;\(0\)%"/>
    <numFmt numFmtId="174" formatCode="#,##0.0_);\(#,##0.0\)"/>
    <numFmt numFmtId="175" formatCode="#,##0.000_);\(#,##0.000\)"/>
    <numFmt numFmtId="176" formatCode="#,##0.0000_);\(#,##0.0000\)"/>
    <numFmt numFmtId="177" formatCode="&quot;$&quot;#,##0.0_);\(&quot;$&quot;#,##0.0\)"/>
    <numFmt numFmtId="178" formatCode="0.0%;\(0.0\)%"/>
    <numFmt numFmtId="179" formatCode="[$-409]dddd\,\ mmmm\ dd\,\ yyyy"/>
    <numFmt numFmtId="180" formatCode="[$-409]mmmm\ d\,\ yyyy;@"/>
    <numFmt numFmtId="181" formatCode="#,##0.000"/>
    <numFmt numFmtId="182" formatCode="mmm\-yyyy"/>
    <numFmt numFmtId="183" formatCode="0.0000"/>
    <numFmt numFmtId="184" formatCode="#,##0.00000_);\(#,##0.00000\)"/>
    <numFmt numFmtId="185" formatCode="#,##0.000000_);\(#,##0.000000\)"/>
    <numFmt numFmtId="186" formatCode="#,##0.0000000_);\(#,##0.0000000\)"/>
    <numFmt numFmtId="187" formatCode="#,##0.00000000_);\(#,##0.00000000\)"/>
    <numFmt numFmtId="188" formatCode="0.00000000"/>
    <numFmt numFmtId="189" formatCode="0.0000000"/>
    <numFmt numFmtId="190" formatCode="0.000000"/>
    <numFmt numFmtId="191" formatCode="0.00000"/>
    <numFmt numFmtId="192" formatCode="&quot;$&quot;#,##0.00"/>
    <numFmt numFmtId="193" formatCode="&quot;$&quot;#,##0"/>
  </numFmts>
  <fonts count="20">
    <font>
      <sz val="10"/>
      <name val="Arial"/>
      <family val="0"/>
    </font>
    <font>
      <sz val="10"/>
      <name val="Helv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6.5"/>
      <name val="Times New Roman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2" applyFont="1" applyBorder="1" applyAlignment="1" applyProtection="1">
      <alignment horizontal="left"/>
      <protection/>
    </xf>
    <xf numFmtId="37" fontId="4" fillId="0" borderId="0" xfId="22">
      <alignment/>
      <protection/>
    </xf>
    <xf numFmtId="37" fontId="4" fillId="2" borderId="1" xfId="22" applyFill="1" applyBorder="1">
      <alignment/>
      <protection/>
    </xf>
    <xf numFmtId="170" fontId="5" fillId="2" borderId="2" xfId="22" applyNumberFormat="1" applyFont="1" applyFill="1" applyBorder="1" applyAlignment="1" applyProtection="1">
      <alignment horizontal="center"/>
      <protection/>
    </xf>
    <xf numFmtId="37" fontId="4" fillId="2" borderId="3" xfId="22" applyFill="1" applyBorder="1">
      <alignment/>
      <protection/>
    </xf>
    <xf numFmtId="37" fontId="0" fillId="0" borderId="0" xfId="22" applyFont="1">
      <alignment/>
      <protection/>
    </xf>
    <xf numFmtId="37" fontId="4" fillId="0" borderId="4" xfId="22" applyBorder="1">
      <alignment/>
      <protection/>
    </xf>
    <xf numFmtId="170" fontId="5" fillId="0" borderId="0" xfId="22" applyNumberFormat="1" applyFont="1" applyBorder="1" applyAlignment="1" applyProtection="1">
      <alignment horizontal="left"/>
      <protection/>
    </xf>
    <xf numFmtId="37" fontId="7" fillId="0" borderId="0" xfId="22" applyFont="1">
      <alignment/>
      <protection/>
    </xf>
    <xf numFmtId="37" fontId="8" fillId="0" borderId="0" xfId="22" applyFont="1">
      <alignment/>
      <protection/>
    </xf>
    <xf numFmtId="37" fontId="10" fillId="0" borderId="0" xfId="22" applyFont="1">
      <alignment/>
      <protection/>
    </xf>
    <xf numFmtId="37" fontId="5" fillId="2" borderId="5" xfId="22" applyFont="1" applyFill="1" applyBorder="1">
      <alignment/>
      <protection/>
    </xf>
    <xf numFmtId="37" fontId="11" fillId="2" borderId="3" xfId="22" applyFont="1" applyFill="1" applyBorder="1" applyAlignment="1" applyProtection="1">
      <alignment horizontal="center"/>
      <protection/>
    </xf>
    <xf numFmtId="170" fontId="5" fillId="2" borderId="1" xfId="22" applyNumberFormat="1" applyFont="1" applyFill="1" applyBorder="1" applyAlignment="1" applyProtection="1">
      <alignment horizontal="left"/>
      <protection/>
    </xf>
    <xf numFmtId="37" fontId="0" fillId="2" borderId="6" xfId="22" applyFont="1" applyFill="1" applyBorder="1">
      <alignment/>
      <protection/>
    </xf>
    <xf numFmtId="37" fontId="12" fillId="2" borderId="6" xfId="22" applyFont="1" applyFill="1" applyBorder="1" applyAlignment="1" applyProtection="1">
      <alignment horizontal="left"/>
      <protection/>
    </xf>
    <xf numFmtId="37" fontId="12" fillId="2" borderId="3" xfId="22" applyFont="1" applyFill="1" applyBorder="1" applyAlignment="1" applyProtection="1">
      <alignment horizontal="left"/>
      <protection/>
    </xf>
    <xf numFmtId="37" fontId="5" fillId="2" borderId="1" xfId="22" applyFont="1" applyFill="1" applyBorder="1">
      <alignment/>
      <protection/>
    </xf>
    <xf numFmtId="37" fontId="13" fillId="2" borderId="6" xfId="22" applyFont="1" applyFill="1" applyBorder="1">
      <alignment/>
      <protection/>
    </xf>
    <xf numFmtId="37" fontId="10" fillId="2" borderId="6" xfId="22" applyFont="1" applyFill="1" applyBorder="1">
      <alignment/>
      <protection/>
    </xf>
    <xf numFmtId="37" fontId="10" fillId="2" borderId="3" xfId="22" applyFont="1" applyFill="1" applyBorder="1">
      <alignment/>
      <protection/>
    </xf>
    <xf numFmtId="37" fontId="5" fillId="0" borderId="7" xfId="22" applyFont="1" applyBorder="1">
      <alignment/>
      <protection/>
    </xf>
    <xf numFmtId="37" fontId="12" fillId="0" borderId="4" xfId="22" applyFont="1" applyBorder="1" applyAlignment="1" applyProtection="1">
      <alignment horizontal="center"/>
      <protection/>
    </xf>
    <xf numFmtId="170" fontId="5" fillId="0" borderId="8" xfId="22" applyNumberFormat="1" applyFont="1" applyBorder="1" applyAlignment="1" applyProtection="1">
      <alignment horizontal="left"/>
      <protection/>
    </xf>
    <xf numFmtId="37" fontId="0" fillId="0" borderId="0" xfId="22" applyFont="1" applyBorder="1">
      <alignment/>
      <protection/>
    </xf>
    <xf numFmtId="37" fontId="12" fillId="0" borderId="9" xfId="22" applyFont="1" applyBorder="1" applyAlignment="1" applyProtection="1">
      <alignment horizontal="left"/>
      <protection/>
    </xf>
    <xf numFmtId="174" fontId="14" fillId="0" borderId="4" xfId="22" applyNumberFormat="1" applyFont="1" applyBorder="1" applyAlignment="1" applyProtection="1">
      <alignment horizontal="center"/>
      <protection/>
    </xf>
    <xf numFmtId="37" fontId="5" fillId="0" borderId="10" xfId="22" applyFont="1" applyBorder="1">
      <alignment/>
      <protection/>
    </xf>
    <xf numFmtId="37" fontId="7" fillId="0" borderId="11" xfId="22" applyFont="1" applyBorder="1" applyAlignment="1">
      <alignment horizontal="center"/>
      <protection/>
    </xf>
    <xf numFmtId="37" fontId="0" fillId="0" borderId="11" xfId="22" applyFont="1" applyBorder="1" applyAlignment="1">
      <alignment horizontal="center"/>
      <protection/>
    </xf>
    <xf numFmtId="37" fontId="0" fillId="0" borderId="12" xfId="22" applyFont="1" applyBorder="1" applyAlignment="1">
      <alignment horizontal="center"/>
      <protection/>
    </xf>
    <xf numFmtId="37" fontId="12" fillId="0" borderId="13" xfId="22" applyFont="1" applyBorder="1" applyAlignment="1" applyProtection="1">
      <alignment horizontal="left"/>
      <protection/>
    </xf>
    <xf numFmtId="7" fontId="14" fillId="0" borderId="4" xfId="22" applyNumberFormat="1" applyFont="1" applyBorder="1" applyAlignment="1" applyProtection="1">
      <alignment horizontal="center"/>
      <protection/>
    </xf>
    <xf numFmtId="37" fontId="5" fillId="0" borderId="14" xfId="22" applyFont="1" applyBorder="1">
      <alignment/>
      <protection/>
    </xf>
    <xf numFmtId="37" fontId="7" fillId="0" borderId="15" xfId="22" applyFont="1" applyBorder="1" applyAlignment="1">
      <alignment horizontal="center"/>
      <protection/>
    </xf>
    <xf numFmtId="37" fontId="0" fillId="0" borderId="15" xfId="22" applyFont="1" applyBorder="1" applyAlignment="1">
      <alignment horizontal="center"/>
      <protection/>
    </xf>
    <xf numFmtId="37" fontId="0" fillId="0" borderId="16" xfId="22" applyFont="1" applyBorder="1">
      <alignment/>
      <protection/>
    </xf>
    <xf numFmtId="168" fontId="14" fillId="0" borderId="4" xfId="23" applyNumberFormat="1" applyFont="1" applyBorder="1" applyAlignment="1" applyProtection="1">
      <alignment horizontal="center"/>
      <protection/>
    </xf>
    <xf numFmtId="37" fontId="4" fillId="0" borderId="15" xfId="22" applyBorder="1">
      <alignment/>
      <protection/>
    </xf>
    <xf numFmtId="3" fontId="14" fillId="0" borderId="4" xfId="23" applyNumberFormat="1" applyFont="1" applyBorder="1" applyAlignment="1" applyProtection="1">
      <alignment horizontal="center"/>
      <protection/>
    </xf>
    <xf numFmtId="37" fontId="0" fillId="0" borderId="16" xfId="22" applyFont="1" applyBorder="1" applyAlignment="1">
      <alignment horizontal="center"/>
      <protection/>
    </xf>
    <xf numFmtId="37" fontId="0" fillId="0" borderId="0" xfId="22" applyFont="1" applyAlignment="1">
      <alignment/>
      <protection/>
    </xf>
    <xf numFmtId="178" fontId="14" fillId="0" borderId="4" xfId="22" applyNumberFormat="1" applyFont="1" applyBorder="1" applyAlignment="1" applyProtection="1">
      <alignment horizontal="center"/>
      <protection/>
    </xf>
    <xf numFmtId="37" fontId="5" fillId="0" borderId="17" xfId="22" applyFont="1" applyBorder="1">
      <alignment/>
      <protection/>
    </xf>
    <xf numFmtId="37" fontId="12" fillId="0" borderId="18" xfId="22" applyFont="1" applyBorder="1" applyAlignment="1" applyProtection="1">
      <alignment horizontal="center"/>
      <protection/>
    </xf>
    <xf numFmtId="171" fontId="7" fillId="0" borderId="4" xfId="23" applyNumberFormat="1" applyFont="1" applyBorder="1" applyAlignment="1" applyProtection="1">
      <alignment horizontal="center"/>
      <protection/>
    </xf>
    <xf numFmtId="170" fontId="5" fillId="0" borderId="19" xfId="22" applyNumberFormat="1" applyFont="1" applyBorder="1" applyAlignment="1" applyProtection="1">
      <alignment horizontal="left"/>
      <protection/>
    </xf>
    <xf numFmtId="170" fontId="5" fillId="0" borderId="7" xfId="22" applyNumberFormat="1" applyFont="1" applyBorder="1" applyAlignment="1" applyProtection="1">
      <alignment horizontal="left"/>
      <protection/>
    </xf>
    <xf numFmtId="3" fontId="14" fillId="0" borderId="4" xfId="22" applyNumberFormat="1" applyFont="1" applyBorder="1" applyAlignment="1" applyProtection="1">
      <alignment horizontal="center"/>
      <protection/>
    </xf>
    <xf numFmtId="171" fontId="14" fillId="0" borderId="4" xfId="23" applyNumberFormat="1" applyFont="1" applyBorder="1" applyAlignment="1" applyProtection="1">
      <alignment horizontal="center"/>
      <protection/>
    </xf>
    <xf numFmtId="37" fontId="0" fillId="0" borderId="15" xfId="22" applyFont="1" applyBorder="1">
      <alignment/>
      <protection/>
    </xf>
    <xf numFmtId="181" fontId="7" fillId="0" borderId="4" xfId="23" applyNumberFormat="1" applyFont="1" applyBorder="1" applyAlignment="1" applyProtection="1">
      <alignment horizontal="center"/>
      <protection/>
    </xf>
    <xf numFmtId="170" fontId="5" fillId="0" borderId="14" xfId="22" applyNumberFormat="1" applyFont="1" applyBorder="1" applyAlignment="1" applyProtection="1">
      <alignment horizontal="left"/>
      <protection/>
    </xf>
    <xf numFmtId="1" fontId="14" fillId="0" borderId="4" xfId="22" applyNumberFormat="1" applyFont="1" applyBorder="1" applyAlignment="1" applyProtection="1">
      <alignment horizontal="center"/>
      <protection/>
    </xf>
    <xf numFmtId="37" fontId="4" fillId="0" borderId="13" xfId="22" applyBorder="1">
      <alignment/>
      <protection/>
    </xf>
    <xf numFmtId="170" fontId="5" fillId="0" borderId="20" xfId="22" applyNumberFormat="1" applyFont="1" applyBorder="1" applyAlignment="1" applyProtection="1">
      <alignment horizontal="left"/>
      <protection/>
    </xf>
    <xf numFmtId="37" fontId="0" fillId="0" borderId="21" xfId="22" applyFont="1" applyBorder="1" applyAlignment="1">
      <alignment horizontal="center"/>
      <protection/>
    </xf>
    <xf numFmtId="37" fontId="0" fillId="0" borderId="21" xfId="22" applyFont="1" applyBorder="1">
      <alignment/>
      <protection/>
    </xf>
    <xf numFmtId="37" fontId="0" fillId="0" borderId="22" xfId="22" applyFont="1" applyBorder="1">
      <alignment/>
      <protection/>
    </xf>
    <xf numFmtId="1" fontId="7" fillId="0" borderId="4" xfId="22" applyNumberFormat="1" applyFont="1" applyBorder="1" applyAlignment="1" applyProtection="1">
      <alignment horizontal="center"/>
      <protection/>
    </xf>
    <xf numFmtId="37" fontId="0" fillId="0" borderId="23" xfId="22" applyFont="1" applyBorder="1">
      <alignment/>
      <protection/>
    </xf>
    <xf numFmtId="37" fontId="0" fillId="0" borderId="24" xfId="22" applyFont="1" applyBorder="1">
      <alignment/>
      <protection/>
    </xf>
    <xf numFmtId="5" fontId="7" fillId="0" borderId="4" xfId="22" applyNumberFormat="1" applyFont="1" applyBorder="1" applyAlignment="1" applyProtection="1">
      <alignment horizontal="center"/>
      <protection/>
    </xf>
    <xf numFmtId="37" fontId="0" fillId="0" borderId="25" xfId="22" applyFont="1" applyBorder="1">
      <alignment/>
      <protection/>
    </xf>
    <xf numFmtId="37" fontId="0" fillId="0" borderId="26" xfId="22" applyFont="1" applyBorder="1">
      <alignment/>
      <protection/>
    </xf>
    <xf numFmtId="170" fontId="5" fillId="0" borderId="27" xfId="22" applyNumberFormat="1" applyFont="1" applyBorder="1" applyAlignment="1" applyProtection="1">
      <alignment horizontal="left"/>
      <protection/>
    </xf>
    <xf numFmtId="37" fontId="0" fillId="0" borderId="28" xfId="22" applyFont="1" applyBorder="1">
      <alignment/>
      <protection/>
    </xf>
    <xf numFmtId="37" fontId="12" fillId="0" borderId="29" xfId="22" applyFont="1" applyBorder="1" applyAlignment="1" applyProtection="1">
      <alignment horizontal="left"/>
      <protection/>
    </xf>
    <xf numFmtId="37" fontId="14" fillId="0" borderId="18" xfId="22" applyNumberFormat="1" applyFont="1" applyBorder="1" applyAlignment="1" applyProtection="1">
      <alignment horizontal="center"/>
      <protection/>
    </xf>
    <xf numFmtId="2" fontId="14" fillId="0" borderId="4" xfId="23" applyNumberFormat="1" applyFont="1" applyBorder="1" applyAlignment="1">
      <alignment horizontal="center"/>
    </xf>
    <xf numFmtId="174" fontId="0" fillId="0" borderId="4" xfId="22" applyNumberFormat="1" applyFont="1" applyBorder="1" applyAlignment="1">
      <alignment horizontal="center"/>
      <protection/>
    </xf>
    <xf numFmtId="37" fontId="0" fillId="0" borderId="30" xfId="22" applyFont="1" applyBorder="1">
      <alignment/>
      <protection/>
    </xf>
    <xf numFmtId="37" fontId="0" fillId="0" borderId="31" xfId="22" applyFont="1" applyBorder="1">
      <alignment/>
      <protection/>
    </xf>
    <xf numFmtId="7" fontId="12" fillId="0" borderId="4" xfId="22" applyNumberFormat="1" applyFont="1" applyBorder="1" applyAlignment="1" applyProtection="1">
      <alignment horizontal="center"/>
      <protection/>
    </xf>
    <xf numFmtId="37" fontId="15" fillId="0" borderId="0" xfId="22" applyFont="1">
      <alignment/>
      <protection/>
    </xf>
    <xf numFmtId="170" fontId="5" fillId="0" borderId="17" xfId="22" applyNumberFormat="1" applyFont="1" applyBorder="1" applyAlignment="1" applyProtection="1">
      <alignment horizontal="left"/>
      <protection/>
    </xf>
    <xf numFmtId="7" fontId="12" fillId="0" borderId="18" xfId="22" applyNumberFormat="1" applyFont="1" applyBorder="1" applyAlignment="1" applyProtection="1">
      <alignment horizontal="center"/>
      <protection/>
    </xf>
    <xf numFmtId="37" fontId="12" fillId="0" borderId="0" xfId="22" applyFont="1" applyBorder="1" applyAlignment="1" applyProtection="1">
      <alignment horizontal="left"/>
      <protection/>
    </xf>
    <xf numFmtId="3" fontId="14" fillId="0" borderId="0" xfId="23" applyNumberFormat="1" applyFont="1" applyBorder="1" applyAlignment="1" applyProtection="1">
      <alignment horizontal="center"/>
      <protection/>
    </xf>
    <xf numFmtId="37" fontId="0" fillId="0" borderId="9" xfId="22" applyFont="1" applyBorder="1">
      <alignment/>
      <protection/>
    </xf>
    <xf numFmtId="0" fontId="16" fillId="2" borderId="1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37" fontId="4" fillId="2" borderId="6" xfId="22" applyFill="1" applyBorder="1">
      <alignment/>
      <protection/>
    </xf>
    <xf numFmtId="37" fontId="0" fillId="0" borderId="13" xfId="22" applyFont="1" applyBorder="1">
      <alignment/>
      <protection/>
    </xf>
    <xf numFmtId="0" fontId="16" fillId="2" borderId="32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37" fontId="6" fillId="2" borderId="33" xfId="22" applyFont="1" applyFill="1" applyBorder="1" applyAlignment="1" applyProtection="1">
      <alignment horizontal="center"/>
      <protection/>
    </xf>
    <xf numFmtId="37" fontId="6" fillId="2" borderId="34" xfId="22" applyFont="1" applyFill="1" applyBorder="1" applyAlignment="1" applyProtection="1">
      <alignment horizontal="center"/>
      <protection/>
    </xf>
    <xf numFmtId="7" fontId="1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7" fontId="6" fillId="0" borderId="36" xfId="22" applyNumberFormat="1" applyFont="1" applyBorder="1" applyAlignment="1" applyProtection="1">
      <alignment horizontal="center"/>
      <protection/>
    </xf>
    <xf numFmtId="7" fontId="6" fillId="0" borderId="37" xfId="22" applyNumberFormat="1" applyFont="1" applyBorder="1" applyAlignment="1" applyProtection="1">
      <alignment horizontal="center"/>
      <protection/>
    </xf>
    <xf numFmtId="3" fontId="14" fillId="0" borderId="0" xfId="22" applyNumberFormat="1" applyFont="1" applyBorder="1" applyAlignment="1" applyProtection="1">
      <alignment horizontal="center"/>
      <protection/>
    </xf>
    <xf numFmtId="170" fontId="5" fillId="2" borderId="38" xfId="22" applyNumberFormat="1" applyFont="1" applyFill="1" applyBorder="1" applyAlignment="1" applyProtection="1">
      <alignment horizontal="left"/>
      <protection/>
    </xf>
    <xf numFmtId="37" fontId="12" fillId="2" borderId="39" xfId="22" applyFont="1" applyFill="1" applyBorder="1" applyAlignment="1" applyProtection="1">
      <alignment horizontal="left"/>
      <protection/>
    </xf>
    <xf numFmtId="37" fontId="12" fillId="2" borderId="40" xfId="22" applyFont="1" applyFill="1" applyBorder="1" applyAlignment="1" applyProtection="1">
      <alignment horizontal="left"/>
      <protection/>
    </xf>
    <xf numFmtId="39" fontId="12" fillId="2" borderId="5" xfId="22" applyNumberFormat="1" applyFont="1" applyFill="1" applyBorder="1" applyAlignment="1" applyProtection="1">
      <alignment horizontal="left"/>
      <protection/>
    </xf>
    <xf numFmtId="37" fontId="12" fillId="2" borderId="41" xfId="22" applyNumberFormat="1" applyFont="1" applyFill="1" applyBorder="1" applyAlignment="1" applyProtection="1">
      <alignment horizontal="center" wrapText="1"/>
      <protection/>
    </xf>
    <xf numFmtId="37" fontId="12" fillId="2" borderId="42" xfId="22" applyNumberFormat="1" applyFont="1" applyFill="1" applyBorder="1" applyAlignment="1" applyProtection="1">
      <alignment horizontal="center" wrapText="1"/>
      <protection/>
    </xf>
    <xf numFmtId="37" fontId="12" fillId="2" borderId="43" xfId="22" applyNumberFormat="1" applyFont="1" applyFill="1" applyBorder="1" applyAlignment="1" applyProtection="1">
      <alignment horizontal="center" wrapText="1"/>
      <protection/>
    </xf>
    <xf numFmtId="0" fontId="5" fillId="0" borderId="7" xfId="0" applyFont="1" applyBorder="1" applyAlignment="1">
      <alignment/>
    </xf>
    <xf numFmtId="5" fontId="7" fillId="0" borderId="13" xfId="19" applyNumberFormat="1" applyFont="1" applyBorder="1" applyAlignment="1">
      <alignment horizontal="center"/>
    </xf>
    <xf numFmtId="5" fontId="0" fillId="0" borderId="44" xfId="22" applyNumberFormat="1" applyFont="1" applyBorder="1" applyAlignment="1">
      <alignment horizontal="center"/>
      <protection/>
    </xf>
    <xf numFmtId="7" fontId="0" fillId="0" borderId="44" xfId="22" applyNumberFormat="1" applyFont="1" applyBorder="1" applyAlignment="1">
      <alignment horizontal="center"/>
      <protection/>
    </xf>
    <xf numFmtId="5" fontId="7" fillId="0" borderId="44" xfId="19" applyNumberFormat="1" applyFont="1" applyBorder="1" applyAlignment="1">
      <alignment horizontal="center"/>
    </xf>
    <xf numFmtId="165" fontId="7" fillId="0" borderId="45" xfId="23" applyNumberFormat="1" applyFont="1" applyBorder="1" applyAlignment="1" applyProtection="1">
      <alignment horizontal="center"/>
      <protection/>
    </xf>
    <xf numFmtId="5" fontId="0" fillId="0" borderId="45" xfId="22" applyNumberFormat="1" applyFont="1" applyBorder="1" applyAlignment="1">
      <alignment horizontal="center"/>
      <protection/>
    </xf>
    <xf numFmtId="7" fontId="0" fillId="0" borderId="46" xfId="22" applyNumberFormat="1" applyFont="1" applyBorder="1" applyAlignment="1">
      <alignment horizontal="center"/>
      <protection/>
    </xf>
    <xf numFmtId="165" fontId="7" fillId="0" borderId="44" xfId="23" applyNumberFormat="1" applyFont="1" applyBorder="1" applyAlignment="1" applyProtection="1">
      <alignment horizontal="center"/>
      <protection/>
    </xf>
    <xf numFmtId="0" fontId="5" fillId="0" borderId="32" xfId="0" applyFont="1" applyBorder="1" applyAlignment="1">
      <alignment/>
    </xf>
    <xf numFmtId="5" fontId="7" fillId="0" borderId="33" xfId="19" applyNumberFormat="1" applyFont="1" applyBorder="1" applyAlignment="1">
      <alignment horizontal="center"/>
    </xf>
    <xf numFmtId="5" fontId="0" fillId="0" borderId="33" xfId="22" applyNumberFormat="1" applyFont="1" applyBorder="1" applyAlignment="1">
      <alignment horizontal="center"/>
      <protection/>
    </xf>
    <xf numFmtId="7" fontId="0" fillId="0" borderId="33" xfId="22" applyNumberFormat="1" applyFont="1" applyBorder="1" applyAlignment="1">
      <alignment horizontal="center"/>
      <protection/>
    </xf>
    <xf numFmtId="165" fontId="7" fillId="0" borderId="33" xfId="23" applyNumberFormat="1" applyFont="1" applyBorder="1" applyAlignment="1" applyProtection="1">
      <alignment horizontal="center"/>
      <protection/>
    </xf>
    <xf numFmtId="5" fontId="7" fillId="0" borderId="47" xfId="19" applyNumberFormat="1" applyFont="1" applyBorder="1" applyAlignment="1">
      <alignment horizontal="center"/>
    </xf>
    <xf numFmtId="7" fontId="0" fillId="0" borderId="34" xfId="22" applyNumberFormat="1" applyFont="1" applyBorder="1" applyAlignment="1">
      <alignment horizontal="center"/>
      <protection/>
    </xf>
    <xf numFmtId="5" fontId="0" fillId="0" borderId="29" xfId="22" applyNumberFormat="1" applyFont="1" applyBorder="1" applyAlignment="1">
      <alignment horizontal="center"/>
      <protection/>
    </xf>
    <xf numFmtId="5" fontId="0" fillId="0" borderId="48" xfId="22" applyNumberFormat="1" applyFont="1" applyBorder="1" applyAlignment="1">
      <alignment horizontal="center"/>
      <protection/>
    </xf>
    <xf numFmtId="7" fontId="0" fillId="0" borderId="48" xfId="22" applyNumberFormat="1" applyFont="1" applyBorder="1" applyAlignment="1">
      <alignment horizontal="center"/>
      <protection/>
    </xf>
    <xf numFmtId="165" fontId="7" fillId="0" borderId="48" xfId="23" applyNumberFormat="1" applyFont="1" applyBorder="1" applyAlignment="1" applyProtection="1">
      <alignment horizontal="center"/>
      <protection/>
    </xf>
    <xf numFmtId="7" fontId="0" fillId="0" borderId="49" xfId="22" applyNumberFormat="1" applyFont="1" applyBorder="1" applyAlignment="1">
      <alignment horizontal="center"/>
      <protection/>
    </xf>
    <xf numFmtId="0" fontId="5" fillId="2" borderId="5" xfId="0" applyFont="1" applyFill="1" applyBorder="1" applyAlignment="1">
      <alignment/>
    </xf>
    <xf numFmtId="37" fontId="5" fillId="2" borderId="6" xfId="22" applyFont="1" applyFill="1" applyBorder="1" applyAlignment="1">
      <alignment horizontal="center"/>
      <protection/>
    </xf>
    <xf numFmtId="37" fontId="12" fillId="2" borderId="3" xfId="22" applyNumberFormat="1" applyFont="1" applyFill="1" applyBorder="1" applyAlignment="1" applyProtection="1">
      <alignment horizontal="center" wrapText="1"/>
      <protection/>
    </xf>
    <xf numFmtId="37" fontId="14" fillId="0" borderId="4" xfId="22" applyNumberFormat="1" applyFont="1" applyBorder="1" applyAlignment="1" applyProtection="1">
      <alignment horizontal="center"/>
      <protection/>
    </xf>
    <xf numFmtId="5" fontId="7" fillId="0" borderId="36" xfId="23" applyNumberFormat="1" applyFont="1" applyBorder="1" applyAlignment="1" applyProtection="1">
      <alignment horizontal="center"/>
      <protection/>
    </xf>
    <xf numFmtId="5" fontId="0" fillId="0" borderId="18" xfId="22" applyNumberFormat="1" applyFont="1" applyBorder="1" applyAlignment="1">
      <alignment horizontal="center"/>
      <protection/>
    </xf>
    <xf numFmtId="5" fontId="14" fillId="0" borderId="4" xfId="22" applyNumberFormat="1" applyFont="1" applyBorder="1" applyAlignment="1" applyProtection="1">
      <alignment horizontal="center"/>
      <protection/>
    </xf>
    <xf numFmtId="175" fontId="12" fillId="0" borderId="0" xfId="22" applyNumberFormat="1" applyFont="1" applyBorder="1" applyAlignment="1" applyProtection="1">
      <alignment horizontal="left" wrapText="1"/>
      <protection/>
    </xf>
    <xf numFmtId="175" fontId="14" fillId="0" borderId="4" xfId="22" applyNumberFormat="1" applyFont="1" applyBorder="1" applyAlignment="1" applyProtection="1">
      <alignment horizontal="center"/>
      <protection/>
    </xf>
    <xf numFmtId="175" fontId="0" fillId="0" borderId="0" xfId="22" applyNumberFormat="1" applyFont="1" applyBorder="1">
      <alignment/>
      <protection/>
    </xf>
    <xf numFmtId="175" fontId="7" fillId="0" borderId="0" xfId="22" applyNumberFormat="1" applyFont="1" applyBorder="1" applyAlignment="1" applyProtection="1">
      <alignment horizontal="left"/>
      <protection/>
    </xf>
    <xf numFmtId="175" fontId="7" fillId="0" borderId="0" xfId="23" applyNumberFormat="1" applyFont="1" applyBorder="1" applyAlignment="1" applyProtection="1">
      <alignment horizontal="center"/>
      <protection/>
    </xf>
    <xf numFmtId="37" fontId="12" fillId="0" borderId="28" xfId="22" applyFont="1" applyBorder="1" applyAlignment="1" applyProtection="1">
      <alignment horizontal="left"/>
      <protection/>
    </xf>
    <xf numFmtId="37" fontId="0" fillId="0" borderId="29" xfId="22" applyFont="1" applyBorder="1">
      <alignment/>
      <protection/>
    </xf>
    <xf numFmtId="3" fontId="14" fillId="0" borderId="18" xfId="23" applyNumberFormat="1" applyFont="1" applyBorder="1" applyAlignment="1" applyProtection="1">
      <alignment horizontal="center"/>
      <protection/>
    </xf>
    <xf numFmtId="170" fontId="5" fillId="0" borderId="50" xfId="22" applyNumberFormat="1" applyFont="1" applyBorder="1" applyAlignment="1" applyProtection="1">
      <alignment horizontal="left"/>
      <protection/>
    </xf>
    <xf numFmtId="5" fontId="0" fillId="0" borderId="51" xfId="22" applyNumberFormat="1" applyFont="1" applyBorder="1" applyAlignment="1">
      <alignment horizontal="center"/>
      <protection/>
    </xf>
    <xf numFmtId="5" fontId="14" fillId="0" borderId="44" xfId="23" applyNumberFormat="1" applyFont="1" applyBorder="1" applyAlignment="1" applyProtection="1">
      <alignment horizontal="center"/>
      <protection/>
    </xf>
    <xf numFmtId="5" fontId="0" fillId="0" borderId="4" xfId="22" applyNumberFormat="1" applyFont="1" applyBorder="1" applyAlignment="1">
      <alignment horizontal="center"/>
      <protection/>
    </xf>
    <xf numFmtId="1" fontId="14" fillId="0" borderId="4" xfId="23" applyNumberFormat="1" applyFont="1" applyBorder="1" applyAlignment="1" applyProtection="1">
      <alignment horizontal="center"/>
      <protection/>
    </xf>
    <xf numFmtId="1" fontId="14" fillId="0" borderId="18" xfId="23" applyNumberFormat="1" applyFont="1" applyBorder="1" applyAlignment="1" applyProtection="1">
      <alignment horizontal="center"/>
      <protection/>
    </xf>
    <xf numFmtId="170" fontId="5" fillId="0" borderId="52" xfId="22" applyNumberFormat="1" applyFont="1" applyBorder="1" applyAlignment="1" applyProtection="1">
      <alignment horizontal="left"/>
      <protection/>
    </xf>
    <xf numFmtId="5" fontId="14" fillId="0" borderId="33" xfId="23" applyNumberFormat="1" applyFont="1" applyBorder="1" applyAlignment="1" applyProtection="1">
      <alignment horizontal="center"/>
      <protection/>
    </xf>
    <xf numFmtId="5" fontId="0" fillId="0" borderId="53" xfId="22" applyNumberFormat="1" applyFont="1" applyBorder="1" applyAlignment="1">
      <alignment horizontal="center"/>
      <protection/>
    </xf>
    <xf numFmtId="5" fontId="7" fillId="0" borderId="44" xfId="23" applyNumberFormat="1" applyFont="1" applyBorder="1" applyAlignment="1" applyProtection="1">
      <alignment horizontal="center"/>
      <protection/>
    </xf>
    <xf numFmtId="178" fontId="7" fillId="0" borderId="44" xfId="22" applyNumberFormat="1" applyFont="1" applyBorder="1" applyAlignment="1" applyProtection="1">
      <alignment horizontal="center"/>
      <protection/>
    </xf>
    <xf numFmtId="37" fontId="12" fillId="0" borderId="8" xfId="22" applyFont="1" applyBorder="1" applyAlignment="1" applyProtection="1">
      <alignment horizontal="left"/>
      <protection/>
    </xf>
    <xf numFmtId="37" fontId="12" fillId="0" borderId="52" xfId="22" applyFont="1" applyBorder="1" applyAlignment="1" applyProtection="1">
      <alignment horizontal="left"/>
      <protection/>
    </xf>
    <xf numFmtId="37" fontId="12" fillId="0" borderId="47" xfId="22" applyFont="1" applyBorder="1" applyAlignment="1" applyProtection="1">
      <alignment horizontal="left"/>
      <protection/>
    </xf>
    <xf numFmtId="5" fontId="14" fillId="0" borderId="53" xfId="22" applyNumberFormat="1" applyFont="1" applyBorder="1" applyAlignment="1" applyProtection="1">
      <alignment horizontal="center"/>
      <protection/>
    </xf>
    <xf numFmtId="37" fontId="12" fillId="0" borderId="54" xfId="22" applyFont="1" applyBorder="1" applyAlignment="1" applyProtection="1">
      <alignment horizontal="left"/>
      <protection/>
    </xf>
    <xf numFmtId="37" fontId="12" fillId="0" borderId="55" xfId="22" applyFont="1" applyBorder="1" applyAlignment="1" applyProtection="1">
      <alignment horizontal="left"/>
      <protection/>
    </xf>
    <xf numFmtId="5" fontId="7" fillId="0" borderId="56" xfId="22" applyNumberFormat="1" applyFont="1" applyBorder="1" applyAlignment="1" applyProtection="1">
      <alignment horizontal="center"/>
      <protection/>
    </xf>
    <xf numFmtId="3" fontId="7" fillId="0" borderId="0" xfId="23" applyNumberFormat="1" applyFont="1" applyBorder="1" applyAlignment="1" applyProtection="1">
      <alignment horizontal="center"/>
      <protection/>
    </xf>
    <xf numFmtId="37" fontId="7" fillId="0" borderId="46" xfId="22" applyNumberFormat="1" applyFont="1" applyBorder="1" applyAlignment="1" applyProtection="1">
      <alignment horizontal="center"/>
      <protection/>
    </xf>
    <xf numFmtId="37" fontId="14" fillId="0" borderId="46" xfId="22" applyNumberFormat="1" applyFont="1" applyBorder="1" applyAlignment="1" applyProtection="1">
      <alignment horizontal="center"/>
      <protection/>
    </xf>
    <xf numFmtId="37" fontId="0" fillId="0" borderId="57" xfId="22" applyFont="1" applyBorder="1">
      <alignment/>
      <protection/>
    </xf>
    <xf numFmtId="175" fontId="7" fillId="0" borderId="34" xfId="22" applyNumberFormat="1" applyFont="1" applyBorder="1" applyAlignment="1" applyProtection="1">
      <alignment horizontal="center"/>
      <protection/>
    </xf>
    <xf numFmtId="0" fontId="5" fillId="3" borderId="17" xfId="0" applyFont="1" applyFill="1" applyBorder="1" applyAlignment="1">
      <alignment/>
    </xf>
    <xf numFmtId="37" fontId="12" fillId="0" borderId="36" xfId="22" applyFont="1" applyBorder="1" applyAlignment="1" applyProtection="1">
      <alignment horizontal="left"/>
      <protection/>
    </xf>
    <xf numFmtId="5" fontId="7" fillId="0" borderId="18" xfId="22" applyNumberFormat="1" applyFont="1" applyBorder="1" applyAlignment="1" applyProtection="1">
      <alignment horizontal="center"/>
      <protection/>
    </xf>
    <xf numFmtId="0" fontId="5" fillId="2" borderId="5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6" fontId="7" fillId="0" borderId="4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7" fillId="0" borderId="49" xfId="0" applyNumberFormat="1" applyFont="1" applyBorder="1" applyAlignment="1">
      <alignment horizontal="center"/>
    </xf>
    <xf numFmtId="178" fontId="14" fillId="0" borderId="0" xfId="22" applyNumberFormat="1" applyFont="1" applyBorder="1" applyAlignment="1" applyProtection="1">
      <alignment horizontal="center"/>
      <protection/>
    </xf>
    <xf numFmtId="5" fontId="14" fillId="0" borderId="45" xfId="23" applyNumberFormat="1" applyFont="1" applyBorder="1" applyAlignment="1" applyProtection="1">
      <alignment horizontal="center"/>
      <protection/>
    </xf>
    <xf numFmtId="5" fontId="14" fillId="0" borderId="44" xfId="22" applyNumberFormat="1" applyFont="1" applyBorder="1" applyAlignment="1" applyProtection="1">
      <alignment horizontal="center"/>
      <protection/>
    </xf>
    <xf numFmtId="3" fontId="7" fillId="0" borderId="4" xfId="22" applyNumberFormat="1" applyFont="1" applyBorder="1" applyAlignment="1" applyProtection="1">
      <alignment horizontal="center"/>
      <protection/>
    </xf>
    <xf numFmtId="37" fontId="5" fillId="0" borderId="27" xfId="22" applyFont="1" applyBorder="1">
      <alignment/>
      <protection/>
    </xf>
    <xf numFmtId="5" fontId="0" fillId="0" borderId="49" xfId="22" applyNumberFormat="1" applyFont="1" applyBorder="1" applyAlignment="1">
      <alignment horizontal="center"/>
      <protection/>
    </xf>
    <xf numFmtId="7" fontId="14" fillId="0" borderId="18" xfId="23" applyNumberFormat="1" applyFont="1" applyBorder="1" applyAlignment="1" applyProtection="1">
      <alignment horizontal="center"/>
      <protection/>
    </xf>
    <xf numFmtId="5" fontId="7" fillId="0" borderId="44" xfId="22" applyNumberFormat="1" applyFont="1" applyBorder="1" applyAlignment="1" applyProtection="1">
      <alignment horizontal="center"/>
      <protection/>
    </xf>
    <xf numFmtId="5" fontId="14" fillId="0" borderId="33" xfId="22" applyNumberFormat="1" applyFont="1" applyBorder="1" applyAlignment="1" applyProtection="1">
      <alignment horizontal="center"/>
      <protection/>
    </xf>
    <xf numFmtId="4" fontId="7" fillId="0" borderId="4" xfId="22" applyNumberFormat="1" applyFont="1" applyBorder="1" applyAlignment="1" applyProtection="1">
      <alignment horizontal="center"/>
      <protection/>
    </xf>
    <xf numFmtId="37" fontId="5" fillId="0" borderId="54" xfId="22" applyFont="1" applyBorder="1">
      <alignment/>
      <protection/>
    </xf>
    <xf numFmtId="5" fontId="0" fillId="0" borderId="58" xfId="22" applyNumberFormat="1" applyFont="1" applyBorder="1" applyAlignment="1">
      <alignment horizontal="center"/>
      <protection/>
    </xf>
    <xf numFmtId="5" fontId="0" fillId="0" borderId="56" xfId="22" applyNumberFormat="1" applyFont="1" applyBorder="1" applyAlignment="1">
      <alignment horizontal="center"/>
      <protection/>
    </xf>
    <xf numFmtId="170" fontId="5" fillId="0" borderId="54" xfId="22" applyNumberFormat="1" applyFont="1" applyBorder="1" applyAlignment="1" applyProtection="1">
      <alignment horizontal="left"/>
      <protection/>
    </xf>
    <xf numFmtId="178" fontId="14" fillId="0" borderId="59" xfId="22" applyNumberFormat="1" applyFont="1" applyBorder="1" applyAlignment="1" applyProtection="1">
      <alignment horizontal="center"/>
      <protection/>
    </xf>
    <xf numFmtId="37" fontId="12" fillId="0" borderId="59" xfId="22" applyFont="1" applyBorder="1" applyAlignment="1" applyProtection="1">
      <alignment horizontal="left"/>
      <protection/>
    </xf>
    <xf numFmtId="37" fontId="0" fillId="0" borderId="60" xfId="22" applyFont="1" applyBorder="1">
      <alignment/>
      <protection/>
    </xf>
    <xf numFmtId="170" fontId="5" fillId="0" borderId="61" xfId="22" applyNumberFormat="1" applyFont="1" applyBorder="1" applyAlignment="1" applyProtection="1">
      <alignment horizontal="left"/>
      <protection/>
    </xf>
    <xf numFmtId="5" fontId="0" fillId="0" borderId="62" xfId="22" applyNumberFormat="1" applyFont="1" applyBorder="1" applyAlignment="1">
      <alignment horizontal="center"/>
      <protection/>
    </xf>
    <xf numFmtId="178" fontId="7" fillId="0" borderId="48" xfId="22" applyNumberFormat="1" applyFont="1" applyBorder="1" applyAlignment="1" applyProtection="1">
      <alignment horizontal="center"/>
      <protection/>
    </xf>
    <xf numFmtId="5" fontId="0" fillId="0" borderId="63" xfId="22" applyNumberFormat="1" applyFont="1" applyBorder="1" applyAlignment="1">
      <alignment horizontal="center"/>
      <protection/>
    </xf>
    <xf numFmtId="3" fontId="14" fillId="0" borderId="18" xfId="22" applyNumberFormat="1" applyFont="1" applyBorder="1" applyAlignment="1" applyProtection="1">
      <alignment horizontal="center"/>
      <protection/>
    </xf>
    <xf numFmtId="37" fontId="5" fillId="0" borderId="50" xfId="22" applyFont="1" applyBorder="1">
      <alignment/>
      <protection/>
    </xf>
    <xf numFmtId="5" fontId="0" fillId="0" borderId="64" xfId="2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37" fontId="0" fillId="2" borderId="3" xfId="22" applyFont="1" applyFill="1" applyBorder="1">
      <alignment/>
      <protection/>
    </xf>
    <xf numFmtId="1" fontId="14" fillId="0" borderId="0" xfId="22" applyNumberFormat="1" applyFont="1" applyBorder="1" applyAlignment="1">
      <alignment horizontal="center"/>
      <protection/>
    </xf>
    <xf numFmtId="1" fontId="7" fillId="0" borderId="0" xfId="22" applyNumberFormat="1" applyFont="1" applyBorder="1" applyAlignment="1">
      <alignment horizontal="center"/>
      <protection/>
    </xf>
    <xf numFmtId="8" fontId="14" fillId="0" borderId="0" xfId="19" applyFont="1" applyBorder="1" applyAlignment="1" applyProtection="1">
      <alignment horizontal="center"/>
      <protection/>
    </xf>
    <xf numFmtId="37" fontId="7" fillId="0" borderId="0" xfId="22" applyFont="1" applyBorder="1" applyAlignment="1">
      <alignment horizontal="center"/>
      <protection/>
    </xf>
    <xf numFmtId="5" fontId="7" fillId="0" borderId="0" xfId="19" applyNumberFormat="1" applyFont="1" applyBorder="1" applyAlignment="1" applyProtection="1">
      <alignment horizontal="center"/>
      <protection/>
    </xf>
    <xf numFmtId="178" fontId="14" fillId="0" borderId="4" xfId="22" applyNumberFormat="1" applyFont="1" applyBorder="1" applyAlignment="1" applyProtection="1" quotePrefix="1">
      <alignment horizontal="center"/>
      <protection/>
    </xf>
    <xf numFmtId="7" fontId="7" fillId="0" borderId="4" xfId="22" applyNumberFormat="1" applyFont="1" applyBorder="1" applyAlignment="1" applyProtection="1">
      <alignment horizontal="center"/>
      <protection/>
    </xf>
    <xf numFmtId="0" fontId="5" fillId="0" borderId="8" xfId="0" applyFont="1" applyBorder="1" applyAlignment="1">
      <alignment/>
    </xf>
    <xf numFmtId="0" fontId="5" fillId="0" borderId="27" xfId="0" applyFont="1" applyBorder="1" applyAlignment="1">
      <alignment/>
    </xf>
    <xf numFmtId="37" fontId="5" fillId="0" borderId="8" xfId="22" applyFont="1" applyBorder="1">
      <alignment/>
      <protection/>
    </xf>
    <xf numFmtId="37" fontId="0" fillId="0" borderId="4" xfId="22" applyFont="1" applyBorder="1">
      <alignment/>
      <protection/>
    </xf>
    <xf numFmtId="37" fontId="14" fillId="0" borderId="0" xfId="22" applyFont="1" applyBorder="1" applyAlignment="1">
      <alignment horizontal="center"/>
      <protection/>
    </xf>
    <xf numFmtId="37" fontId="0" fillId="0" borderId="0" xfId="22" applyFont="1" applyBorder="1" applyAlignment="1">
      <alignment horizontal="center"/>
      <protection/>
    </xf>
    <xf numFmtId="37" fontId="4" fillId="0" borderId="0" xfId="22" applyBorder="1">
      <alignment/>
      <protection/>
    </xf>
    <xf numFmtId="37" fontId="0" fillId="0" borderId="18" xfId="22" applyFont="1" applyBorder="1">
      <alignment/>
      <protection/>
    </xf>
    <xf numFmtId="5" fontId="14" fillId="0" borderId="0" xfId="22" applyNumberFormat="1" applyFont="1" applyBorder="1" applyAlignment="1">
      <alignment horizontal="center"/>
      <protection/>
    </xf>
    <xf numFmtId="7" fontId="7" fillId="0" borderId="0" xfId="22" applyNumberFormat="1" applyFont="1" applyBorder="1" applyAlignment="1">
      <alignment horizontal="center"/>
      <protection/>
    </xf>
    <xf numFmtId="37" fontId="0" fillId="2" borderId="0" xfId="22" applyFont="1" applyFill="1" applyBorder="1">
      <alignment/>
      <protection/>
    </xf>
    <xf numFmtId="37" fontId="5" fillId="0" borderId="0" xfId="22" applyFont="1" applyBorder="1" applyAlignment="1">
      <alignment horizontal="center"/>
      <protection/>
    </xf>
    <xf numFmtId="7" fontId="0" fillId="0" borderId="0" xfId="22" applyNumberFormat="1" applyFont="1" applyBorder="1" applyAlignment="1">
      <alignment horizontal="center"/>
      <protection/>
    </xf>
    <xf numFmtId="37" fontId="5" fillId="2" borderId="38" xfId="22" applyFont="1" applyFill="1" applyBorder="1">
      <alignment/>
      <protection/>
    </xf>
    <xf numFmtId="37" fontId="5" fillId="2" borderId="8" xfId="22" applyFont="1" applyFill="1" applyBorder="1">
      <alignment/>
      <protection/>
    </xf>
    <xf numFmtId="37" fontId="5" fillId="0" borderId="8" xfId="22" applyFont="1" applyBorder="1" applyAlignment="1">
      <alignment horizontal="center"/>
      <protection/>
    </xf>
    <xf numFmtId="37" fontId="0" fillId="0" borderId="8" xfId="22" applyFont="1" applyBorder="1" applyAlignment="1">
      <alignment horizontal="center"/>
      <protection/>
    </xf>
    <xf numFmtId="37" fontId="5" fillId="2" borderId="65" xfId="22" applyFont="1" applyFill="1" applyBorder="1">
      <alignment/>
      <protection/>
    </xf>
    <xf numFmtId="37" fontId="0" fillId="2" borderId="66" xfId="22" applyFont="1" applyFill="1" applyBorder="1">
      <alignment/>
      <protection/>
    </xf>
    <xf numFmtId="37" fontId="10" fillId="2" borderId="39" xfId="22" applyFont="1" applyFill="1" applyBorder="1">
      <alignment/>
      <protection/>
    </xf>
    <xf numFmtId="37" fontId="10" fillId="2" borderId="27" xfId="22" applyFont="1" applyFill="1" applyBorder="1">
      <alignment/>
      <protection/>
    </xf>
    <xf numFmtId="37" fontId="5" fillId="2" borderId="28" xfId="22" applyFont="1" applyFill="1" applyBorder="1">
      <alignment/>
      <protection/>
    </xf>
    <xf numFmtId="37" fontId="10" fillId="2" borderId="28" xfId="22" applyFont="1" applyFill="1" applyBorder="1">
      <alignment/>
      <protection/>
    </xf>
    <xf numFmtId="37" fontId="0" fillId="2" borderId="4" xfId="22" applyFont="1" applyFill="1" applyBorder="1">
      <alignment/>
      <protection/>
    </xf>
    <xf numFmtId="37" fontId="5" fillId="0" borderId="4" xfId="22" applyFont="1" applyBorder="1" applyAlignment="1">
      <alignment horizontal="center"/>
      <protection/>
    </xf>
    <xf numFmtId="37" fontId="0" fillId="0" borderId="4" xfId="22" applyFont="1" applyBorder="1" applyAlignment="1">
      <alignment horizontal="center"/>
      <protection/>
    </xf>
    <xf numFmtId="37" fontId="0" fillId="2" borderId="67" xfId="22" applyFont="1" applyFill="1" applyBorder="1">
      <alignment/>
      <protection/>
    </xf>
    <xf numFmtId="37" fontId="10" fillId="2" borderId="40" xfId="22" applyFont="1" applyFill="1" applyBorder="1">
      <alignment/>
      <protection/>
    </xf>
    <xf numFmtId="37" fontId="10" fillId="2" borderId="18" xfId="22" applyFont="1" applyFill="1" applyBorder="1">
      <alignment/>
      <protection/>
    </xf>
    <xf numFmtId="37" fontId="10" fillId="2" borderId="66" xfId="22" applyFont="1" applyFill="1" applyBorder="1">
      <alignment/>
      <protection/>
    </xf>
    <xf numFmtId="37" fontId="10" fillId="2" borderId="67" xfId="22" applyFont="1" applyFill="1" applyBorder="1">
      <alignment/>
      <protection/>
    </xf>
    <xf numFmtId="37" fontId="5" fillId="2" borderId="42" xfId="22" applyFont="1" applyFill="1" applyBorder="1">
      <alignment/>
      <protection/>
    </xf>
    <xf numFmtId="37" fontId="5" fillId="2" borderId="3" xfId="22" applyFont="1" applyFill="1" applyBorder="1">
      <alignment/>
      <protection/>
    </xf>
    <xf numFmtId="37" fontId="14" fillId="0" borderId="36" xfId="22" applyFont="1" applyBorder="1" applyAlignment="1">
      <alignment horizontal="center"/>
      <protection/>
    </xf>
    <xf numFmtId="5" fontId="0" fillId="0" borderId="63" xfId="17" applyNumberFormat="1" applyFont="1" applyBorder="1" applyAlignment="1">
      <alignment horizontal="center"/>
    </xf>
    <xf numFmtId="37" fontId="5" fillId="2" borderId="33" xfId="22" applyFont="1" applyFill="1" applyBorder="1">
      <alignment/>
      <protection/>
    </xf>
    <xf numFmtId="0" fontId="14" fillId="0" borderId="4" xfId="0" applyFont="1" applyBorder="1" applyAlignment="1">
      <alignment horizontal="center"/>
    </xf>
    <xf numFmtId="192" fontId="14" fillId="0" borderId="4" xfId="0" applyNumberFormat="1" applyFont="1" applyBorder="1" applyAlignment="1">
      <alignment horizontal="center"/>
    </xf>
    <xf numFmtId="193" fontId="14" fillId="0" borderId="4" xfId="0" applyNumberFormat="1" applyFont="1" applyBorder="1" applyAlignment="1">
      <alignment horizontal="center"/>
    </xf>
    <xf numFmtId="193" fontId="14" fillId="0" borderId="18" xfId="0" applyNumberFormat="1" applyFont="1" applyBorder="1" applyAlignment="1">
      <alignment horizontal="center"/>
    </xf>
    <xf numFmtId="5" fontId="14" fillId="0" borderId="36" xfId="23" applyNumberFormat="1" applyFont="1" applyBorder="1" applyAlignment="1" applyProtection="1">
      <alignment horizontal="center"/>
      <protection/>
    </xf>
    <xf numFmtId="5" fontId="0" fillId="0" borderId="68" xfId="22" applyNumberFormat="1" applyFont="1" applyBorder="1" applyAlignment="1">
      <alignment horizontal="center"/>
      <protection/>
    </xf>
    <xf numFmtId="39" fontId="14" fillId="0" borderId="36" xfId="22" applyNumberFormat="1" applyFont="1" applyBorder="1" applyAlignment="1">
      <alignment horizontal="center"/>
      <protection/>
    </xf>
    <xf numFmtId="37" fontId="4" fillId="4" borderId="8" xfId="22" applyFill="1" applyBorder="1">
      <alignment/>
      <protection/>
    </xf>
    <xf numFmtId="37" fontId="5" fillId="4" borderId="69" xfId="22" applyFont="1" applyFill="1" applyBorder="1" applyAlignment="1">
      <alignment horizontal="center"/>
      <protection/>
    </xf>
    <xf numFmtId="37" fontId="4" fillId="4" borderId="4" xfId="22" applyFill="1" applyBorder="1">
      <alignment/>
      <protection/>
    </xf>
    <xf numFmtId="37" fontId="8" fillId="4" borderId="8" xfId="22" applyFont="1" applyFill="1" applyBorder="1">
      <alignment/>
      <protection/>
    </xf>
    <xf numFmtId="39" fontId="9" fillId="4" borderId="4" xfId="22" applyNumberFormat="1" applyFont="1" applyFill="1" applyBorder="1" applyProtection="1">
      <alignment/>
      <protection/>
    </xf>
    <xf numFmtId="0" fontId="5" fillId="4" borderId="65" xfId="0" applyFont="1" applyFill="1" applyBorder="1" applyAlignment="1">
      <alignment horizontal="left"/>
    </xf>
    <xf numFmtId="37" fontId="7" fillId="4" borderId="66" xfId="22" applyFont="1" applyFill="1" applyBorder="1">
      <alignment/>
      <protection/>
    </xf>
    <xf numFmtId="37" fontId="8" fillId="4" borderId="67" xfId="22" applyFont="1" applyFill="1" applyBorder="1">
      <alignment/>
      <protection/>
    </xf>
    <xf numFmtId="37" fontId="5" fillId="2" borderId="32" xfId="22" applyFont="1" applyFill="1" applyBorder="1">
      <alignment/>
      <protection/>
    </xf>
    <xf numFmtId="37" fontId="11" fillId="2" borderId="53" xfId="22" applyFont="1" applyFill="1" applyBorder="1" applyAlignment="1" applyProtection="1">
      <alignment horizontal="center"/>
      <protection/>
    </xf>
    <xf numFmtId="170" fontId="5" fillId="2" borderId="52" xfId="22" applyNumberFormat="1" applyFont="1" applyFill="1" applyBorder="1" applyAlignment="1" applyProtection="1">
      <alignment horizontal="left"/>
      <protection/>
    </xf>
    <xf numFmtId="37" fontId="0" fillId="2" borderId="57" xfId="22" applyFont="1" applyFill="1" applyBorder="1">
      <alignment/>
      <protection/>
    </xf>
    <xf numFmtId="37" fontId="12" fillId="2" borderId="57" xfId="22" applyFont="1" applyFill="1" applyBorder="1" applyAlignment="1" applyProtection="1">
      <alignment horizontal="left"/>
      <protection/>
    </xf>
    <xf numFmtId="37" fontId="12" fillId="2" borderId="53" xfId="22" applyFont="1" applyFill="1" applyBorder="1" applyAlignment="1" applyProtection="1">
      <alignment horizontal="left"/>
      <protection/>
    </xf>
    <xf numFmtId="37" fontId="8" fillId="4" borderId="66" xfId="22" applyFont="1" applyFill="1" applyBorder="1">
      <alignment/>
      <protection/>
    </xf>
    <xf numFmtId="37" fontId="10" fillId="4" borderId="28" xfId="22" applyFont="1" applyFill="1" applyBorder="1">
      <alignment/>
      <protection/>
    </xf>
    <xf numFmtId="39" fontId="9" fillId="4" borderId="28" xfId="22" applyNumberFormat="1" applyFont="1" applyFill="1" applyBorder="1" applyProtection="1">
      <alignment/>
      <protection/>
    </xf>
    <xf numFmtId="172" fontId="14" fillId="0" borderId="36" xfId="22" applyNumberFormat="1" applyFont="1" applyBorder="1" applyAlignment="1" applyProtection="1">
      <alignment horizontal="center"/>
      <protection/>
    </xf>
    <xf numFmtId="172" fontId="14" fillId="0" borderId="45" xfId="22" applyNumberFormat="1" applyFont="1" applyBorder="1" applyAlignment="1" applyProtection="1">
      <alignment horizontal="center"/>
      <protection/>
    </xf>
    <xf numFmtId="172" fontId="14" fillId="0" borderId="44" xfId="22" applyNumberFormat="1" applyFont="1" applyBorder="1" applyAlignment="1" applyProtection="1">
      <alignment horizontal="center"/>
      <protection/>
    </xf>
    <xf numFmtId="172" fontId="14" fillId="0" borderId="33" xfId="22" applyNumberFormat="1" applyFont="1" applyBorder="1" applyAlignment="1" applyProtection="1">
      <alignment horizontal="center"/>
      <protection/>
    </xf>
    <xf numFmtId="172" fontId="7" fillId="0" borderId="44" xfId="22" applyNumberFormat="1" applyFont="1" applyBorder="1" applyAlignment="1" applyProtection="1">
      <alignment horizontal="center"/>
      <protection/>
    </xf>
    <xf numFmtId="172" fontId="7" fillId="0" borderId="45" xfId="22" applyNumberFormat="1" applyFont="1" applyBorder="1" applyAlignment="1" applyProtection="1">
      <alignment horizontal="center"/>
      <protection/>
    </xf>
    <xf numFmtId="172" fontId="7" fillId="0" borderId="48" xfId="22" applyNumberFormat="1" applyFont="1" applyBorder="1" applyAlignment="1" applyProtection="1">
      <alignment horizontal="center"/>
      <protection/>
    </xf>
    <xf numFmtId="172" fontId="12" fillId="0" borderId="59" xfId="22" applyNumberFormat="1" applyFont="1" applyBorder="1" applyAlignment="1" applyProtection="1">
      <alignment horizontal="left"/>
      <protection/>
    </xf>
    <xf numFmtId="2" fontId="14" fillId="0" borderId="4" xfId="22" applyNumberFormat="1" applyFont="1" applyBorder="1" applyAlignment="1">
      <alignment horizontal="center"/>
      <protection/>
    </xf>
    <xf numFmtId="180" fontId="18" fillId="0" borderId="4" xfId="22" applyNumberFormat="1" applyFont="1" applyBorder="1" applyAlignment="1" applyProtection="1">
      <alignment horizontal="center"/>
      <protection/>
    </xf>
    <xf numFmtId="3" fontId="18" fillId="0" borderId="4" xfId="2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7" fontId="15" fillId="0" borderId="8" xfId="22" applyFont="1" applyBorder="1">
      <alignment/>
      <protection/>
    </xf>
    <xf numFmtId="37" fontId="15" fillId="0" borderId="0" xfId="22" applyFont="1" applyBorder="1">
      <alignment/>
      <protection/>
    </xf>
    <xf numFmtId="37" fontId="15" fillId="0" borderId="4" xfId="22" applyFont="1" applyBorder="1">
      <alignment/>
      <protection/>
    </xf>
    <xf numFmtId="37" fontId="15" fillId="0" borderId="27" xfId="22" applyFont="1" applyBorder="1">
      <alignment/>
      <protection/>
    </xf>
    <xf numFmtId="37" fontId="15" fillId="0" borderId="28" xfId="22" applyFont="1" applyBorder="1">
      <alignment/>
      <protection/>
    </xf>
    <xf numFmtId="37" fontId="15" fillId="0" borderId="18" xfId="22" applyFont="1" applyBorder="1">
      <alignment/>
      <protection/>
    </xf>
    <xf numFmtId="37" fontId="19" fillId="2" borderId="1" xfId="22" applyFont="1" applyFill="1" applyBorder="1">
      <alignment/>
      <protection/>
    </xf>
    <xf numFmtId="37" fontId="15" fillId="2" borderId="6" xfId="22" applyFont="1" applyFill="1" applyBorder="1">
      <alignment/>
      <protection/>
    </xf>
    <xf numFmtId="37" fontId="15" fillId="2" borderId="3" xfId="22" applyFont="1" applyFill="1" applyBorder="1">
      <alignment/>
      <protection/>
    </xf>
    <xf numFmtId="37" fontId="6" fillId="0" borderId="0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PJM 2004 SOM CONE Combined Cycle Plant 1-12-05 Version 1" xfId="19"/>
    <cellStyle name="Followed Hyperlink" xfId="20"/>
    <cellStyle name="Hyperlink" xfId="21"/>
    <cellStyle name="Normal_PJM 2004 SOM CONE Combined Cycle Plant 1-12-05 Version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rategic%20Current%20Clients\PJM\Avoidable%20Cost%20Definition\RPM%20Avoidable%20Cost%20Template%208-17-06%20Versio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trategic%20Energy\Clients\PJM\Proforma\Reliant%20Warren%20Proforma%202-28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rategic%20Current%20Clients\PJM\2004%20SOM%20Report\Combined%20Cycle%20Proforma\PJM%202004%20SOM%20CONE%20Combined%20Cycle%20Plant%201-12-05%20Versio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on 1 F Technology CC"/>
      <sheetName val="2 Unit F Technology S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t Balance"/>
      <sheetName val="Summary"/>
      <sheetName val="Income Statement"/>
      <sheetName val="Cash Flow"/>
      <sheetName val="Debt Coverages"/>
      <sheetName val="Tax Schedule"/>
      <sheetName val="Fuel Schedule"/>
      <sheetName val="Electric Schedule"/>
      <sheetName val="Staffing Schedule"/>
      <sheetName val="EPC"/>
      <sheetName val="Depreciation Schedule"/>
      <sheetName val="Loan Schedules"/>
      <sheetName val="Working Capital Schedule"/>
    </sheetNames>
    <sheetDataSet>
      <sheetData sheetId="1">
        <row r="51">
          <cell r="H51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come-Cash Flow"/>
      <sheetName val="Electric Schedule"/>
      <sheetName val="Fuel Schedule"/>
      <sheetName val="EPC"/>
      <sheetName val="O&amp;M Schedule"/>
      <sheetName val="Property Tax"/>
      <sheetName val="Debt Coverages"/>
      <sheetName val="Heat Balance"/>
      <sheetName val="Depreciation Schedule"/>
      <sheetName val="Loan Schedules"/>
      <sheetName val="Working Capital Schedule"/>
    </sheetNames>
    <sheetDataSet>
      <sheetData sheetId="0">
        <row r="52">
          <cell r="K52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4.57421875" style="3" customWidth="1"/>
    <col min="13" max="13" width="23.8515625" style="3" customWidth="1"/>
    <col min="14" max="14" width="22.281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278</v>
      </c>
      <c r="F2" s="4"/>
      <c r="G2" s="5" t="s">
        <v>2</v>
      </c>
      <c r="H2" s="6"/>
    </row>
    <row r="3" spans="1:8" ht="12.75">
      <c r="A3" s="1">
        <f t="shared" si="0"/>
        <v>3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258" t="s">
        <v>4</v>
      </c>
      <c r="C6" s="259">
        <v>1</v>
      </c>
      <c r="D6" s="11"/>
      <c r="E6" s="260" t="s">
        <v>123</v>
      </c>
      <c r="F6" s="261"/>
      <c r="G6" s="262"/>
      <c r="H6" s="261"/>
      <c r="I6" s="263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14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22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32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43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59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5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12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33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 s="278"/>
      <c r="L15" s="278"/>
      <c r="M15" s="278"/>
      <c r="N15" s="278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22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2002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5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9500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30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500</v>
      </c>
      <c r="D25" s="7"/>
      <c r="E25" s="25" t="s">
        <v>176</v>
      </c>
      <c r="F25" s="26"/>
      <c r="G25" s="79"/>
      <c r="H25" s="85"/>
      <c r="I25" s="131" t="s">
        <v>22</v>
      </c>
      <c r="J25" s="7"/>
      <c r="K25" s="76"/>
      <c r="L25" s="76"/>
      <c r="M25" s="76"/>
      <c r="N25" s="76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60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K26" s="76"/>
      <c r="L26" s="76"/>
      <c r="M26" s="76"/>
      <c r="N26" s="76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K27" s="76"/>
      <c r="L27" s="76"/>
      <c r="M27" s="76"/>
      <c r="N27" s="76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60</v>
      </c>
      <c r="D28" s="7"/>
      <c r="J28" s="7"/>
      <c r="K28" s="76"/>
      <c r="L28" s="76"/>
      <c r="M28" s="76"/>
      <c r="N28" s="76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19.883340394264156</v>
      </c>
      <c r="D29" s="7"/>
      <c r="E29" s="76"/>
      <c r="J29" s="7"/>
      <c r="K29" s="76"/>
      <c r="L29" s="76"/>
      <c r="M29" s="76"/>
      <c r="N29" s="76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19.883340394264156</v>
      </c>
      <c r="D30" s="7"/>
      <c r="J30" s="7"/>
      <c r="K30" s="76"/>
      <c r="L30" s="76"/>
      <c r="M30" s="76"/>
      <c r="N30" s="76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19.883340394264156</v>
      </c>
      <c r="C34" s="91">
        <v>1.1</v>
      </c>
      <c r="D34" s="92">
        <f>J38</f>
        <v>5.306849315068493</v>
      </c>
      <c r="E34" s="92">
        <f>J39</f>
        <v>2.4781399254710545</v>
      </c>
      <c r="F34" s="92">
        <f>J40</f>
        <v>3.1232876712328768</v>
      </c>
      <c r="G34" s="92">
        <f>J41</f>
        <v>0.5205479452054794</v>
      </c>
      <c r="H34" s="92">
        <f>J42</f>
        <v>4.463470319634704</v>
      </c>
      <c r="I34" s="92">
        <f>J43</f>
        <v>1.341833284756631</v>
      </c>
      <c r="J34" s="92">
        <f>J44</f>
        <v>0.5821917808219178</v>
      </c>
      <c r="K34" s="93">
        <f>J45</f>
        <v>0.2853881278538813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135720</v>
      </c>
      <c r="D38" s="104">
        <f aca="true" t="shared" si="1" ref="D38:D45">C38/$C$26</f>
        <v>2262</v>
      </c>
      <c r="E38" s="105">
        <f aca="true" t="shared" si="2" ref="E38:E45">C38/$C$26/365</f>
        <v>6.197260273972603</v>
      </c>
      <c r="F38" s="106">
        <f>C38-H38</f>
        <v>19500</v>
      </c>
      <c r="G38" s="107">
        <f aca="true" t="shared" si="3" ref="G38:G45">IF(C38=0,0,H38/C38)</f>
        <v>0.8563218390804598</v>
      </c>
      <c r="H38" s="103">
        <f>E49</f>
        <v>116220</v>
      </c>
      <c r="I38" s="108">
        <f aca="true" t="shared" si="4" ref="I38:I45">H38/$C$26</f>
        <v>1937</v>
      </c>
      <c r="J38" s="109">
        <f aca="true" t="shared" si="5" ref="J38:J45">H38/$C$26/365</f>
        <v>5.306849315068493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570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70500</v>
      </c>
      <c r="D39" s="104">
        <f t="shared" si="1"/>
        <v>1175</v>
      </c>
      <c r="E39" s="105">
        <f t="shared" si="2"/>
        <v>3.219178082191781</v>
      </c>
      <c r="F39" s="106">
        <f>C39-H39</f>
        <v>16228.73563218391</v>
      </c>
      <c r="G39" s="110">
        <f t="shared" si="3"/>
        <v>0.7698051683378169</v>
      </c>
      <c r="H39" s="103">
        <f>E58</f>
        <v>54271.26436781609</v>
      </c>
      <c r="I39" s="104">
        <f t="shared" si="4"/>
        <v>904.5210727969348</v>
      </c>
      <c r="J39" s="109">
        <f t="shared" si="5"/>
        <v>2.4781399254710545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76000</v>
      </c>
      <c r="D40" s="104">
        <f t="shared" si="1"/>
        <v>1266.6666666666667</v>
      </c>
      <c r="E40" s="105">
        <f t="shared" si="2"/>
        <v>3.4703196347031966</v>
      </c>
      <c r="F40" s="106">
        <f>C40-H40</f>
        <v>7600</v>
      </c>
      <c r="G40" s="110">
        <f t="shared" si="3"/>
        <v>0.9</v>
      </c>
      <c r="H40" s="103">
        <f>E64</f>
        <v>68400</v>
      </c>
      <c r="I40" s="104">
        <f t="shared" si="4"/>
        <v>1140</v>
      </c>
      <c r="J40" s="109">
        <f t="shared" si="5"/>
        <v>3.1232876712328768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18000</v>
      </c>
      <c r="D41" s="104">
        <f t="shared" si="1"/>
        <v>300</v>
      </c>
      <c r="E41" s="105">
        <f t="shared" si="2"/>
        <v>0.821917808219178</v>
      </c>
      <c r="F41" s="106">
        <f>C41-H41</f>
        <v>6600</v>
      </c>
      <c r="G41" s="110">
        <f t="shared" si="3"/>
        <v>0.6333333333333333</v>
      </c>
      <c r="H41" s="103">
        <f>E72</f>
        <v>11400</v>
      </c>
      <c r="I41" s="104">
        <f t="shared" si="4"/>
        <v>190</v>
      </c>
      <c r="J41" s="109">
        <f t="shared" si="5"/>
        <v>0.5205479452054794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186000</v>
      </c>
      <c r="D42" s="104">
        <f t="shared" si="1"/>
        <v>3100</v>
      </c>
      <c r="E42" s="105">
        <f t="shared" si="2"/>
        <v>8.493150684931507</v>
      </c>
      <c r="F42" s="106">
        <f>C78-E78</f>
        <v>88250</v>
      </c>
      <c r="G42" s="110">
        <f t="shared" si="3"/>
        <v>0.5255376344086021</v>
      </c>
      <c r="H42" s="103">
        <f>E78</f>
        <v>97750</v>
      </c>
      <c r="I42" s="104">
        <f t="shared" si="4"/>
        <v>1629.1666666666667</v>
      </c>
      <c r="J42" s="109">
        <f t="shared" si="5"/>
        <v>4.463470319634704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45831.531914893625</v>
      </c>
      <c r="D43" s="104">
        <f t="shared" si="1"/>
        <v>763.8588652482271</v>
      </c>
      <c r="E43" s="105">
        <f t="shared" si="2"/>
        <v>2.0927640143787043</v>
      </c>
      <c r="F43" s="106">
        <f>C43-H43</f>
        <v>16445.382978723406</v>
      </c>
      <c r="G43" s="110">
        <f t="shared" si="3"/>
        <v>0.6411775410592541</v>
      </c>
      <c r="H43" s="103">
        <f>E85</f>
        <v>29386.14893617022</v>
      </c>
      <c r="I43" s="104">
        <f t="shared" si="4"/>
        <v>489.7691489361703</v>
      </c>
      <c r="J43" s="109">
        <f t="shared" si="5"/>
        <v>1.341833284756631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15000</v>
      </c>
      <c r="D44" s="104">
        <f t="shared" si="1"/>
        <v>250</v>
      </c>
      <c r="E44" s="105">
        <f t="shared" si="2"/>
        <v>0.684931506849315</v>
      </c>
      <c r="F44" s="106">
        <f>C44-H44</f>
        <v>2250</v>
      </c>
      <c r="G44" s="110">
        <f t="shared" si="3"/>
        <v>0.85</v>
      </c>
      <c r="H44" s="103">
        <f>E90</f>
        <v>12750</v>
      </c>
      <c r="I44" s="104">
        <f t="shared" si="4"/>
        <v>212.5</v>
      </c>
      <c r="J44" s="109">
        <f t="shared" si="5"/>
        <v>0.5821917808219178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6250</v>
      </c>
      <c r="D45" s="113">
        <f t="shared" si="1"/>
        <v>104.16666666666667</v>
      </c>
      <c r="E45" s="114">
        <f t="shared" si="2"/>
        <v>0.2853881278538813</v>
      </c>
      <c r="F45" s="112">
        <f>C45-H45</f>
        <v>0</v>
      </c>
      <c r="G45" s="115">
        <f t="shared" si="3"/>
        <v>1</v>
      </c>
      <c r="H45" s="116">
        <f>E92</f>
        <v>6250</v>
      </c>
      <c r="I45" s="113">
        <f t="shared" si="4"/>
        <v>104.16666666666667</v>
      </c>
      <c r="J45" s="117">
        <f t="shared" si="5"/>
        <v>0.2853881278538813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553301.5319148937</v>
      </c>
      <c r="D46" s="119">
        <f>SUM(D38:D45)</f>
        <v>9221.69219858156</v>
      </c>
      <c r="E46" s="120">
        <f>SUM(E38:E45)</f>
        <v>25.264910133100166</v>
      </c>
      <c r="F46" s="119">
        <f>SUM(F38:F45)</f>
        <v>156874.11861090732</v>
      </c>
      <c r="G46" s="121">
        <f>H46/C46</f>
        <v>0.7164762619254107</v>
      </c>
      <c r="H46" s="118">
        <f>SUM(H38:H45)</f>
        <v>396427.4133039863</v>
      </c>
      <c r="I46" s="118">
        <f>SUM(I38:I45)</f>
        <v>6607.12355506644</v>
      </c>
      <c r="J46" s="122">
        <f>SUM(J38:J45)</f>
        <v>18.10170837004504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135720</v>
      </c>
      <c r="D49" s="267">
        <v>0.8563218390804598</v>
      </c>
      <c r="E49" s="128">
        <f>C49*D49</f>
        <v>116220</v>
      </c>
      <c r="F49" s="249">
        <v>1.5</v>
      </c>
      <c r="G49" s="241">
        <f>C49/F49</f>
        <v>90480</v>
      </c>
      <c r="H49" s="25" t="s">
        <v>175</v>
      </c>
      <c r="I49" s="81"/>
      <c r="J49" s="129">
        <v>50000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40500</v>
      </c>
      <c r="D51" s="268">
        <v>0.7333333333333333</v>
      </c>
      <c r="E51" s="248">
        <f>C51*D51</f>
        <v>29699.999999999996</v>
      </c>
      <c r="F51" s="249">
        <v>0.5</v>
      </c>
      <c r="G51" s="241">
        <f>C51/F51</f>
        <v>81000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3000</v>
      </c>
      <c r="D52" s="269">
        <v>0.8563218390804598</v>
      </c>
      <c r="E52" s="141">
        <f aca="true" t="shared" si="6" ref="E52:E57">C52*D52</f>
        <v>2568.9655172413795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10000</v>
      </c>
      <c r="D53" s="269">
        <v>0.75</v>
      </c>
      <c r="E53" s="141">
        <f t="shared" si="6"/>
        <v>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3000</v>
      </c>
      <c r="D54" s="269">
        <v>0.8563218390804598</v>
      </c>
      <c r="E54" s="141">
        <f t="shared" si="6"/>
        <v>2568.9655172413795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1000</v>
      </c>
      <c r="D55" s="269">
        <v>0.7333333333333333</v>
      </c>
      <c r="E55" s="141">
        <f t="shared" si="6"/>
        <v>733.3333333333333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3000</v>
      </c>
      <c r="D56" s="269">
        <v>0.7333333333333333</v>
      </c>
      <c r="E56" s="141">
        <f t="shared" si="6"/>
        <v>2200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10000</v>
      </c>
      <c r="D57" s="270">
        <v>0.9</v>
      </c>
      <c r="E57" s="146">
        <f t="shared" si="6"/>
        <v>9000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70500</v>
      </c>
      <c r="D58" s="271">
        <f>E58/C58</f>
        <v>0.7698051683378169</v>
      </c>
      <c r="E58" s="141">
        <f>SUM(E51:E57)</f>
        <v>54271.26436781609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50000</v>
      </c>
      <c r="D60" s="269">
        <v>0.9</v>
      </c>
      <c r="E60" s="141">
        <f>C60*D60</f>
        <v>45000</v>
      </c>
      <c r="F60" s="7"/>
      <c r="H60" s="153" t="s">
        <v>204</v>
      </c>
      <c r="I60" s="154"/>
      <c r="J60" s="155">
        <f>SUM(J49:J59)</f>
        <v>50000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15000</v>
      </c>
      <c r="D61" s="269">
        <v>0.9</v>
      </c>
      <c r="E61" s="141">
        <f>C61*D61</f>
        <v>13500</v>
      </c>
      <c r="F61" s="7"/>
      <c r="H61" s="25" t="s">
        <v>106</v>
      </c>
      <c r="I61" s="26"/>
      <c r="J61" s="157">
        <f>C22</f>
        <v>5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</v>
      </c>
      <c r="D62" s="269">
        <v>0.9</v>
      </c>
      <c r="E62" s="141">
        <f>C62*D62</f>
        <v>900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10000</v>
      </c>
      <c r="D63" s="270">
        <v>0.9</v>
      </c>
      <c r="E63" s="146">
        <f>C63*D63</f>
        <v>9000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76000</v>
      </c>
      <c r="D64" s="271">
        <f>E64/C64</f>
        <v>0.9</v>
      </c>
      <c r="E64" s="141">
        <f>SUM(E60:E63)</f>
        <v>68400</v>
      </c>
      <c r="F64" s="7"/>
      <c r="H64" s="161" t="s">
        <v>210</v>
      </c>
      <c r="I64" s="162"/>
      <c r="J64" s="163">
        <f>J60*J63</f>
        <v>6250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2000</v>
      </c>
      <c r="D66" s="269">
        <v>0.9</v>
      </c>
      <c r="E66" s="141">
        <f aca="true" t="shared" si="8" ref="E66:E71">C66*D66</f>
        <v>1800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2000</v>
      </c>
      <c r="D67" s="269">
        <v>0.9</v>
      </c>
      <c r="E67" s="141">
        <f t="shared" si="8"/>
        <v>1800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</v>
      </c>
      <c r="D68" s="269">
        <v>0.5</v>
      </c>
      <c r="E68" s="141">
        <f t="shared" si="8"/>
        <v>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1000</v>
      </c>
      <c r="D69" s="269">
        <v>0.5</v>
      </c>
      <c r="E69" s="141">
        <f t="shared" si="8"/>
        <v>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10000</v>
      </c>
      <c r="D70" s="269">
        <v>0.5</v>
      </c>
      <c r="E70" s="141">
        <f t="shared" si="8"/>
        <v>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2000</v>
      </c>
      <c r="D71" s="270">
        <v>0.9</v>
      </c>
      <c r="E71" s="146">
        <f t="shared" si="8"/>
        <v>1800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18000</v>
      </c>
      <c r="D72" s="271">
        <f>E72/C72</f>
        <v>0.6333333333333333</v>
      </c>
      <c r="E72" s="141">
        <f>SUM(E66:E71)</f>
        <v>11400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150000</v>
      </c>
      <c r="D74" s="269">
        <v>0.6</v>
      </c>
      <c r="E74" s="141">
        <f>C74*D74</f>
        <v>90000</v>
      </c>
      <c r="F74" s="7"/>
      <c r="H74" s="25" t="s">
        <v>230</v>
      </c>
      <c r="I74" s="26"/>
      <c r="J74" s="28">
        <v>3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</v>
      </c>
      <c r="D75" s="269">
        <v>0.75</v>
      </c>
      <c r="E75" s="141">
        <f>C75*D75</f>
        <v>7500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</v>
      </c>
      <c r="D76" s="269">
        <v>0.25</v>
      </c>
      <c r="E76" s="141">
        <f>C76*D76</f>
        <v>250</v>
      </c>
      <c r="F76" s="7"/>
      <c r="H76" s="25" t="s">
        <v>234</v>
      </c>
      <c r="I76" s="26"/>
      <c r="J76" s="177">
        <f>C23*C26*1000/J75</f>
        <v>4042.553191489362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25000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291063.8297872341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186000</v>
      </c>
      <c r="D78" s="271">
        <f>E78/C78</f>
        <v>0.5255376344086021</v>
      </c>
      <c r="E78" s="179">
        <f>SUM(E74:E77)</f>
        <v>97750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529736.170212766</v>
      </c>
      <c r="D81" s="269">
        <v>0.75</v>
      </c>
      <c r="E81" s="141">
        <f>C81*D81</f>
        <v>397302.1276595745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22.8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654736.170212766</v>
      </c>
      <c r="D83" s="271">
        <f>E83/C83</f>
        <v>0.641177541059254</v>
      </c>
      <c r="E83" s="186">
        <f>SUM(E80:E82)</f>
        <v>419802.1276595745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45831.531914893625</v>
      </c>
      <c r="D85" s="273">
        <f>E85/C85</f>
        <v>0.6411775410592541</v>
      </c>
      <c r="E85" s="194">
        <f>$C$84*E83</f>
        <v>29386.14893617022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5000</v>
      </c>
      <c r="D87" s="269">
        <v>0.9</v>
      </c>
      <c r="E87" s="141">
        <f>C87*D87</f>
        <v>4500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5000</v>
      </c>
      <c r="D88" s="269">
        <v>0.75</v>
      </c>
      <c r="E88" s="141">
        <f>C88*D88</f>
        <v>3750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</v>
      </c>
      <c r="D89" s="269">
        <v>0.9</v>
      </c>
      <c r="E89" s="146">
        <f>C89*D89</f>
        <v>4500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15000</v>
      </c>
      <c r="D90" s="272">
        <f>E90/C90</f>
        <v>0.85</v>
      </c>
      <c r="E90" s="139">
        <f>SUM(E87:E89)</f>
        <v>12750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6250</v>
      </c>
      <c r="D92" s="267">
        <v>1</v>
      </c>
      <c r="E92" s="128">
        <f>C92*D92</f>
        <v>6250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3">
    <dataValidation allowBlank="1" showInputMessage="1" showErrorMessage="1" prompt="Provide justification for opportunity cost." sqref="N10"/>
    <dataValidation type="list" allowBlank="1" showInputMessage="1" showErrorMessage="1" sqref="D74:D77">
      <formula1>#REF!</formula1>
    </dataValidation>
    <dataValidation type="list" allowBlank="1" showInputMessage="1" showErrorMessage="1" sqref="AD30 I14 Z39 AD33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140625" style="3" customWidth="1"/>
    <col min="14" max="14" width="23.4218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267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302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2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22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32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140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171.7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3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>
        <v>390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>
        <v>1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>
        <v>30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61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2003</v>
      </c>
      <c r="D20" s="7"/>
      <c r="E20" s="25" t="s">
        <v>163</v>
      </c>
      <c r="F20" s="26"/>
      <c r="G20" s="79"/>
      <c r="H20" s="85"/>
      <c r="I20" s="44" t="s">
        <v>164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167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4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7050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500</v>
      </c>
      <c r="D24" s="7"/>
      <c r="E24" s="25" t="s">
        <v>66</v>
      </c>
      <c r="F24" s="26"/>
      <c r="G24" s="79"/>
      <c r="H24" s="85"/>
      <c r="I24" s="126" t="s">
        <v>67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564.9717514124294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885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885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20.253916383012587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20.253916383012587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20.253916383012587</v>
      </c>
      <c r="C34" s="91">
        <v>1.1</v>
      </c>
      <c r="D34" s="92">
        <f>J38</f>
        <v>5.104620385419086</v>
      </c>
      <c r="E34" s="92">
        <f>J39</f>
        <v>2.3305804915821082</v>
      </c>
      <c r="F34" s="92">
        <f>J40</f>
        <v>3.0647782679359183</v>
      </c>
      <c r="G34" s="92">
        <f>J41</f>
        <v>2.0849779428836777</v>
      </c>
      <c r="H34" s="92">
        <f>J42</f>
        <v>5.475582385264299</v>
      </c>
      <c r="I34" s="92">
        <f>J43</f>
        <v>0.009751567216159742</v>
      </c>
      <c r="J34" s="92">
        <f>J44</f>
        <v>0.23682377524959367</v>
      </c>
      <c r="K34" s="93">
        <f>J45</f>
        <v>0.11609008590666356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1984320</v>
      </c>
      <c r="D38" s="104">
        <f aca="true" t="shared" si="1" ref="D38:D45">C38/$C$26</f>
        <v>2242.169491525424</v>
      </c>
      <c r="E38" s="105">
        <f aca="true" t="shared" si="2" ref="E38:E45">C38/$C$26/365</f>
        <v>6.142930113768284</v>
      </c>
      <c r="F38" s="106">
        <f>C38-H38</f>
        <v>335400</v>
      </c>
      <c r="G38" s="107">
        <f aca="true" t="shared" si="3" ref="G38:G45">IF(C38=0,0,H38/C38)</f>
        <v>0.8309748427672956</v>
      </c>
      <c r="H38" s="103">
        <f>E49</f>
        <v>1648920</v>
      </c>
      <c r="I38" s="108">
        <f aca="true" t="shared" si="4" ref="I38:I45">H38/$C$26</f>
        <v>1863.1864406779662</v>
      </c>
      <c r="J38" s="109">
        <f aca="true" t="shared" si="5" ref="J38:J45">H38/$C$26/365</f>
        <v>5.104620385419086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6239.25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898250</v>
      </c>
      <c r="D39" s="104">
        <f t="shared" si="1"/>
        <v>1014.9717514124294</v>
      </c>
      <c r="E39" s="105">
        <f t="shared" si="2"/>
        <v>2.780744524417615</v>
      </c>
      <c r="F39" s="106">
        <f>C39-H39</f>
        <v>145414.23670668947</v>
      </c>
      <c r="G39" s="110">
        <f t="shared" si="3"/>
        <v>0.838113847251111</v>
      </c>
      <c r="H39" s="103">
        <f>E58</f>
        <v>752835.7632933105</v>
      </c>
      <c r="I39" s="104">
        <f t="shared" si="4"/>
        <v>850.6618794274696</v>
      </c>
      <c r="J39" s="109">
        <f t="shared" si="5"/>
        <v>2.3305804915821082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1100000</v>
      </c>
      <c r="D40" s="104">
        <f t="shared" si="1"/>
        <v>1242.9378531073446</v>
      </c>
      <c r="E40" s="105">
        <f t="shared" si="2"/>
        <v>3.4053091865954648</v>
      </c>
      <c r="F40" s="106">
        <f>C40-H40</f>
        <v>110000</v>
      </c>
      <c r="G40" s="110">
        <f t="shared" si="3"/>
        <v>0.9</v>
      </c>
      <c r="H40" s="103">
        <f>E64</f>
        <v>990000</v>
      </c>
      <c r="I40" s="104">
        <f t="shared" si="4"/>
        <v>1118.6440677966102</v>
      </c>
      <c r="J40" s="109">
        <f t="shared" si="5"/>
        <v>3.0647782679359183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1035000</v>
      </c>
      <c r="D41" s="104">
        <f t="shared" si="1"/>
        <v>1169.4915254237287</v>
      </c>
      <c r="E41" s="105">
        <f t="shared" si="2"/>
        <v>3.2040863710239145</v>
      </c>
      <c r="F41" s="106">
        <f>C41-H41</f>
        <v>361500</v>
      </c>
      <c r="G41" s="110">
        <f t="shared" si="3"/>
        <v>0.6507246376811594</v>
      </c>
      <c r="H41" s="103">
        <f>E72</f>
        <v>673500</v>
      </c>
      <c r="I41" s="104">
        <f t="shared" si="4"/>
        <v>761.0169491525423</v>
      </c>
      <c r="J41" s="109">
        <f t="shared" si="5"/>
        <v>2.0849779428836777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3725000</v>
      </c>
      <c r="D42" s="104">
        <f t="shared" si="1"/>
        <v>4209.039548022599</v>
      </c>
      <c r="E42" s="105">
        <f t="shared" si="2"/>
        <v>11.531615200061914</v>
      </c>
      <c r="F42" s="106">
        <f>C78-E78</f>
        <v>1956250</v>
      </c>
      <c r="G42" s="110">
        <f t="shared" si="3"/>
        <v>0.4748322147651007</v>
      </c>
      <c r="H42" s="103">
        <f>E78</f>
        <v>1768750</v>
      </c>
      <c r="I42" s="104">
        <f t="shared" si="4"/>
        <v>1998.587570621469</v>
      </c>
      <c r="J42" s="109">
        <f t="shared" si="5"/>
        <v>5.475582385264299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213500.00000000003</v>
      </c>
      <c r="D43" s="104">
        <f t="shared" si="1"/>
        <v>241.24293785310738</v>
      </c>
      <c r="E43" s="105">
        <f t="shared" si="2"/>
        <v>0.660939555761938</v>
      </c>
      <c r="F43" s="106">
        <f>C43-H43</f>
        <v>210350.00000000003</v>
      </c>
      <c r="G43" s="110">
        <f t="shared" si="3"/>
        <v>0.014754098360655738</v>
      </c>
      <c r="H43" s="103">
        <f>E85</f>
        <v>3150.0000000000005</v>
      </c>
      <c r="I43" s="104">
        <f t="shared" si="4"/>
        <v>3.559322033898306</v>
      </c>
      <c r="J43" s="109">
        <f t="shared" si="5"/>
        <v>0.009751567216159742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90000</v>
      </c>
      <c r="D44" s="104">
        <f t="shared" si="1"/>
        <v>101.69491525423729</v>
      </c>
      <c r="E44" s="105">
        <f t="shared" si="2"/>
        <v>0.2786162061759926</v>
      </c>
      <c r="F44" s="106">
        <f>C44-H44</f>
        <v>13500</v>
      </c>
      <c r="G44" s="110">
        <f t="shared" si="3"/>
        <v>0.85</v>
      </c>
      <c r="H44" s="103">
        <f>E90</f>
        <v>76500</v>
      </c>
      <c r="I44" s="104">
        <f t="shared" si="4"/>
        <v>86.44067796610169</v>
      </c>
      <c r="J44" s="109">
        <f t="shared" si="5"/>
        <v>0.23682377524959367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37500</v>
      </c>
      <c r="D45" s="113">
        <f t="shared" si="1"/>
        <v>42.3728813559322</v>
      </c>
      <c r="E45" s="114">
        <f t="shared" si="2"/>
        <v>0.11609008590666356</v>
      </c>
      <c r="F45" s="112">
        <f>C45-H45</f>
        <v>0</v>
      </c>
      <c r="G45" s="115">
        <f t="shared" si="3"/>
        <v>1</v>
      </c>
      <c r="H45" s="116">
        <f>E92</f>
        <v>37500</v>
      </c>
      <c r="I45" s="113">
        <f t="shared" si="4"/>
        <v>42.3728813559322</v>
      </c>
      <c r="J45" s="117">
        <f t="shared" si="5"/>
        <v>0.11609008590666356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9083570</v>
      </c>
      <c r="D46" s="119">
        <f>SUM(D38:D45)</f>
        <v>10263.9209039548</v>
      </c>
      <c r="E46" s="120">
        <f>SUM(E38:E45)</f>
        <v>28.12033124371179</v>
      </c>
      <c r="F46" s="119">
        <f>SUM(F38:F45)</f>
        <v>3132414.2367066895</v>
      </c>
      <c r="G46" s="121">
        <f>H46/C46</f>
        <v>0.6551560414345143</v>
      </c>
      <c r="H46" s="118">
        <f>SUM(H38:H45)</f>
        <v>5951155.763293311</v>
      </c>
      <c r="I46" s="118">
        <f>SUM(I38:I45)</f>
        <v>6724.469789031989</v>
      </c>
      <c r="J46" s="122">
        <f>SUM(J38:J45)</f>
        <v>18.423204901457503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1984320</v>
      </c>
      <c r="D49" s="267">
        <v>0.8309748427672956</v>
      </c>
      <c r="E49" s="141">
        <f aca="true" t="shared" si="6" ref="E49:E57">C49*D49</f>
        <v>1648920</v>
      </c>
      <c r="F49" s="240">
        <v>24</v>
      </c>
      <c r="G49" s="241">
        <f>C49/F49</f>
        <v>82680</v>
      </c>
      <c r="H49" s="25" t="s">
        <v>175</v>
      </c>
      <c r="I49" s="81"/>
      <c r="J49" s="129">
        <v>300000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668250</v>
      </c>
      <c r="D51" s="268">
        <v>0.8383838383838383</v>
      </c>
      <c r="E51" s="141">
        <f t="shared" si="6"/>
        <v>560250</v>
      </c>
      <c r="F51" s="240">
        <v>7</v>
      </c>
      <c r="G51" s="241">
        <f>C51/F51</f>
        <v>95464.28571428571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30000</v>
      </c>
      <c r="D52" s="269">
        <v>0.8309748427672956</v>
      </c>
      <c r="E52" s="141">
        <f t="shared" si="6"/>
        <v>24929.245283018867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30000</v>
      </c>
      <c r="D54" s="269">
        <v>0.8309748427672956</v>
      </c>
      <c r="E54" s="141">
        <f t="shared" si="6"/>
        <v>24929.245283018867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15000</v>
      </c>
      <c r="D55" s="269">
        <v>0.8383838383838383</v>
      </c>
      <c r="E55" s="141">
        <f t="shared" si="6"/>
        <v>12575.757575757576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30000</v>
      </c>
      <c r="D56" s="269">
        <v>0.8383838383838383</v>
      </c>
      <c r="E56" s="141">
        <f t="shared" si="6"/>
        <v>25151.515151515152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75000</v>
      </c>
      <c r="D57" s="270">
        <v>0.9</v>
      </c>
      <c r="E57" s="146">
        <f t="shared" si="6"/>
        <v>67500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898250</v>
      </c>
      <c r="D58" s="271">
        <f>E58/C58</f>
        <v>0.838113847251111</v>
      </c>
      <c r="E58" s="141">
        <f>SUM(E51:E57)</f>
        <v>752835.7632933105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750000</v>
      </c>
      <c r="D60" s="269">
        <v>0.9</v>
      </c>
      <c r="E60" s="141">
        <f>C60*D60</f>
        <v>675000</v>
      </c>
      <c r="F60" s="7"/>
      <c r="H60" s="153" t="s">
        <v>204</v>
      </c>
      <c r="I60" s="154"/>
      <c r="J60" s="155">
        <f>SUM(J49:J59)</f>
        <v>300000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300000</v>
      </c>
      <c r="D61" s="269">
        <v>0.9</v>
      </c>
      <c r="E61" s="141">
        <f>C61*D61</f>
        <v>270000</v>
      </c>
      <c r="F61" s="7"/>
      <c r="H61" s="25" t="s">
        <v>106</v>
      </c>
      <c r="I61" s="26"/>
      <c r="J61" s="157">
        <f>C22</f>
        <v>4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15000</v>
      </c>
      <c r="D62" s="269">
        <v>0.9</v>
      </c>
      <c r="E62" s="141">
        <f>C62*D62</f>
        <v>13500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35000</v>
      </c>
      <c r="D63" s="270">
        <v>0.9</v>
      </c>
      <c r="E63" s="146">
        <f>C63*D63</f>
        <v>31500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1100000</v>
      </c>
      <c r="D64" s="271">
        <f>E64/C64</f>
        <v>0.9</v>
      </c>
      <c r="E64" s="141">
        <f>SUM(E60:E63)</f>
        <v>990000</v>
      </c>
      <c r="F64" s="7"/>
      <c r="H64" s="161" t="s">
        <v>210</v>
      </c>
      <c r="I64" s="162"/>
      <c r="J64" s="163">
        <f>J60*J63</f>
        <v>37500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300000</v>
      </c>
      <c r="D66" s="269">
        <v>0.9</v>
      </c>
      <c r="E66" s="141">
        <f aca="true" t="shared" si="8" ref="E66:E71">C66*D66</f>
        <v>270000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15000</v>
      </c>
      <c r="D67" s="269">
        <v>0.9</v>
      </c>
      <c r="E67" s="141">
        <f t="shared" si="8"/>
        <v>13500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15000</v>
      </c>
      <c r="D68" s="269">
        <v>0.5</v>
      </c>
      <c r="E68" s="141">
        <f t="shared" si="8"/>
        <v>7500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30000</v>
      </c>
      <c r="D69" s="269">
        <v>0.5</v>
      </c>
      <c r="E69" s="141">
        <f t="shared" si="8"/>
        <v>15000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600000</v>
      </c>
      <c r="D70" s="269">
        <v>0.5</v>
      </c>
      <c r="E70" s="141">
        <f t="shared" si="8"/>
        <v>300000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75000</v>
      </c>
      <c r="D71" s="270">
        <v>0.9</v>
      </c>
      <c r="E71" s="146">
        <f t="shared" si="8"/>
        <v>67500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1035000</v>
      </c>
      <c r="D72" s="271">
        <f>E72/C72</f>
        <v>0.6507246376811594</v>
      </c>
      <c r="E72" s="141">
        <f>SUM(E66:E71)</f>
        <v>673500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2750000</v>
      </c>
      <c r="D74" s="269">
        <v>0.6</v>
      </c>
      <c r="E74" s="141">
        <f>C74*D74</f>
        <v>1650000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125000</v>
      </c>
      <c r="D75" s="269">
        <v>0.75</v>
      </c>
      <c r="E75" s="141">
        <f>C75*D75</f>
        <v>93750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44250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750000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3725000</v>
      </c>
      <c r="D78" s="271">
        <f>E78/C78</f>
        <v>0.4748322147651007</v>
      </c>
      <c r="E78" s="179">
        <f>SUM(E74:E77)</f>
        <v>1768750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3000000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0.0999999999999998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249.57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3050000</v>
      </c>
      <c r="D83" s="271">
        <f>E83/C83</f>
        <v>0.014754098360655738</v>
      </c>
      <c r="E83" s="186">
        <f>SUM(E80:E82)</f>
        <v>45000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213500.00000000003</v>
      </c>
      <c r="D85" s="273">
        <f>E85/C85</f>
        <v>0.014754098360655738</v>
      </c>
      <c r="E85" s="194">
        <f>$C$84*E83</f>
        <v>3150.0000000000005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30000</v>
      </c>
      <c r="D87" s="269">
        <v>0.9</v>
      </c>
      <c r="E87" s="141">
        <f>C87*D87</f>
        <v>27000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30000</v>
      </c>
      <c r="D88" s="269">
        <v>0.75</v>
      </c>
      <c r="E88" s="141">
        <f>C88*D88</f>
        <v>22500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30000</v>
      </c>
      <c r="D89" s="269">
        <v>0.9</v>
      </c>
      <c r="E89" s="146">
        <f>C89*D89</f>
        <v>27000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90000</v>
      </c>
      <c r="D90" s="272">
        <f>E90/C90</f>
        <v>0.85</v>
      </c>
      <c r="E90" s="139">
        <f>SUM(E87:E89)</f>
        <v>76500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37500</v>
      </c>
      <c r="D92" s="267">
        <v>1</v>
      </c>
      <c r="E92" s="128">
        <f>C92*D92</f>
        <v>37500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7109375" style="3" customWidth="1"/>
    <col min="14" max="14" width="21.4218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267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301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2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269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80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1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>
        <v>45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>
        <v>1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>
        <v>30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61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1989</v>
      </c>
      <c r="D20" s="7"/>
      <c r="E20" s="25" t="s">
        <v>163</v>
      </c>
      <c r="F20" s="26"/>
      <c r="G20" s="79"/>
      <c r="H20" s="85"/>
      <c r="I20" s="205" t="s">
        <v>276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18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8500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125</v>
      </c>
      <c r="D24" s="7"/>
      <c r="E24" s="25" t="s">
        <v>66</v>
      </c>
      <c r="F24" s="26"/>
      <c r="G24" s="79"/>
      <c r="H24" s="85"/>
      <c r="I24" s="126" t="s">
        <v>67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1000</v>
      </c>
      <c r="D25" s="7"/>
      <c r="E25" s="25" t="s">
        <v>176</v>
      </c>
      <c r="F25" s="26"/>
      <c r="G25" s="79"/>
      <c r="H25" s="85"/>
      <c r="I25" s="131" t="s">
        <v>22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125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125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86.9688738114469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86.9688738114469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86.9688738114469</v>
      </c>
      <c r="C34" s="91">
        <v>1.1</v>
      </c>
      <c r="D34" s="92">
        <f>J38</f>
        <v>25.438684931506852</v>
      </c>
      <c r="E34" s="92">
        <f>J39</f>
        <v>7.126764115172965</v>
      </c>
      <c r="F34" s="92">
        <f>J40</f>
        <v>25.34794520547945</v>
      </c>
      <c r="G34" s="92">
        <f>J41</f>
        <v>6.115068493150685</v>
      </c>
      <c r="H34" s="92">
        <f>J42</f>
        <v>12.054794520547945</v>
      </c>
      <c r="I34" s="92">
        <f>J43</f>
        <v>0.13551967356455824</v>
      </c>
      <c r="J34" s="92">
        <f>J44</f>
        <v>1.3972602739726028</v>
      </c>
      <c r="K34" s="93">
        <f>J45</f>
        <v>1.5912328767123287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1581840</v>
      </c>
      <c r="D38" s="104">
        <f aca="true" t="shared" si="1" ref="D38:D45">C38/$C$26</f>
        <v>12654.72</v>
      </c>
      <c r="E38" s="105">
        <f aca="true" t="shared" si="2" ref="E38:E45">C38/$C$26/365</f>
        <v>34.67046575342466</v>
      </c>
      <c r="F38" s="106">
        <f>C38-H38</f>
        <v>421200</v>
      </c>
      <c r="G38" s="107">
        <f aca="true" t="shared" si="3" ref="G38:G45">IF(C38=0,0,H38/C38)</f>
        <v>0.7337278106508875</v>
      </c>
      <c r="H38" s="103">
        <f>E49</f>
        <v>1160640</v>
      </c>
      <c r="I38" s="108">
        <f aca="true" t="shared" si="4" ref="I38:I45">H38/$C$26</f>
        <v>9285.12</v>
      </c>
      <c r="J38" s="109">
        <f aca="true" t="shared" si="5" ref="J38:J45">H38/$C$26/365</f>
        <v>25.438684931506852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1062.5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529500</v>
      </c>
      <c r="D39" s="104">
        <f t="shared" si="1"/>
        <v>4236</v>
      </c>
      <c r="E39" s="105">
        <f t="shared" si="2"/>
        <v>11.605479452054794</v>
      </c>
      <c r="F39" s="106">
        <f>C39-H39</f>
        <v>204341.38724523346</v>
      </c>
      <c r="G39" s="110">
        <f t="shared" si="3"/>
        <v>0.6140861430684921</v>
      </c>
      <c r="H39" s="103">
        <f>E58</f>
        <v>325158.61275476654</v>
      </c>
      <c r="I39" s="104">
        <f t="shared" si="4"/>
        <v>2601.268902038132</v>
      </c>
      <c r="J39" s="109">
        <f t="shared" si="5"/>
        <v>7.126764115172965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1285000</v>
      </c>
      <c r="D40" s="104">
        <f t="shared" si="1"/>
        <v>10280</v>
      </c>
      <c r="E40" s="105">
        <f t="shared" si="2"/>
        <v>28.164383561643834</v>
      </c>
      <c r="F40" s="106">
        <f>C40-H40</f>
        <v>128500</v>
      </c>
      <c r="G40" s="110">
        <f t="shared" si="3"/>
        <v>0.9</v>
      </c>
      <c r="H40" s="103">
        <f>E64</f>
        <v>1156500</v>
      </c>
      <c r="I40" s="104">
        <f t="shared" si="4"/>
        <v>9252</v>
      </c>
      <c r="J40" s="109">
        <f t="shared" si="5"/>
        <v>25.34794520547945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470000</v>
      </c>
      <c r="D41" s="104">
        <f t="shared" si="1"/>
        <v>3760</v>
      </c>
      <c r="E41" s="105">
        <f t="shared" si="2"/>
        <v>10.301369863013699</v>
      </c>
      <c r="F41" s="106">
        <f>C41-H41</f>
        <v>191000</v>
      </c>
      <c r="G41" s="110">
        <f t="shared" si="3"/>
        <v>0.5936170212765958</v>
      </c>
      <c r="H41" s="103">
        <f>E72</f>
        <v>279000</v>
      </c>
      <c r="I41" s="104">
        <f t="shared" si="4"/>
        <v>2232</v>
      </c>
      <c r="J41" s="109">
        <f t="shared" si="5"/>
        <v>6.115068493150685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1200000</v>
      </c>
      <c r="D42" s="104">
        <f t="shared" si="1"/>
        <v>9600</v>
      </c>
      <c r="E42" s="105">
        <f t="shared" si="2"/>
        <v>26.301369863013697</v>
      </c>
      <c r="F42" s="106">
        <f>C78-E78</f>
        <v>650000</v>
      </c>
      <c r="G42" s="110">
        <f t="shared" si="3"/>
        <v>0.4583333333333333</v>
      </c>
      <c r="H42" s="103">
        <f>E78</f>
        <v>550000</v>
      </c>
      <c r="I42" s="104">
        <f t="shared" si="4"/>
        <v>4400</v>
      </c>
      <c r="J42" s="109">
        <f t="shared" si="5"/>
        <v>12.054794520547945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117830.8510638298</v>
      </c>
      <c r="D43" s="104">
        <f t="shared" si="1"/>
        <v>942.6468085106384</v>
      </c>
      <c r="E43" s="105">
        <f t="shared" si="2"/>
        <v>2.582593995919557</v>
      </c>
      <c r="F43" s="106">
        <f>C43-H43</f>
        <v>111647.76595744683</v>
      </c>
      <c r="G43" s="110">
        <f t="shared" si="3"/>
        <v>0.05247424635024956</v>
      </c>
      <c r="H43" s="103">
        <f>E85</f>
        <v>6183.0851063829705</v>
      </c>
      <c r="I43" s="104">
        <f t="shared" si="4"/>
        <v>49.46468085106376</v>
      </c>
      <c r="J43" s="109">
        <f t="shared" si="5"/>
        <v>0.13551967356455824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75000</v>
      </c>
      <c r="D44" s="104">
        <f t="shared" si="1"/>
        <v>600</v>
      </c>
      <c r="E44" s="105">
        <f t="shared" si="2"/>
        <v>1.643835616438356</v>
      </c>
      <c r="F44" s="106">
        <f>C44-H44</f>
        <v>11250</v>
      </c>
      <c r="G44" s="110">
        <f t="shared" si="3"/>
        <v>0.85</v>
      </c>
      <c r="H44" s="103">
        <f>E90</f>
        <v>63750</v>
      </c>
      <c r="I44" s="104">
        <f t="shared" si="4"/>
        <v>510</v>
      </c>
      <c r="J44" s="109">
        <f t="shared" si="5"/>
        <v>1.3972602739726028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72600</v>
      </c>
      <c r="D45" s="113">
        <f t="shared" si="1"/>
        <v>580.8</v>
      </c>
      <c r="E45" s="114">
        <f t="shared" si="2"/>
        <v>1.5912328767123287</v>
      </c>
      <c r="F45" s="112">
        <f>C45-H45</f>
        <v>0</v>
      </c>
      <c r="G45" s="115">
        <f t="shared" si="3"/>
        <v>1</v>
      </c>
      <c r="H45" s="116">
        <f>E92</f>
        <v>72600</v>
      </c>
      <c r="I45" s="113">
        <f t="shared" si="4"/>
        <v>580.8</v>
      </c>
      <c r="J45" s="117">
        <f t="shared" si="5"/>
        <v>1.5912328767123287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5331770.85106383</v>
      </c>
      <c r="D46" s="119">
        <f>SUM(D38:D45)</f>
        <v>42654.16680851064</v>
      </c>
      <c r="E46" s="120">
        <f>SUM(E38:E45)</f>
        <v>116.86073098222091</v>
      </c>
      <c r="F46" s="119">
        <f>SUM(F38:F45)</f>
        <v>1717939.1532026802</v>
      </c>
      <c r="G46" s="121">
        <f>H46/C46</f>
        <v>0.6777920129744688</v>
      </c>
      <c r="H46" s="118">
        <f>SUM(H38:H45)</f>
        <v>3613831.69786115</v>
      </c>
      <c r="I46" s="118">
        <f>SUM(I38:I45)</f>
        <v>28910.653582889194</v>
      </c>
      <c r="J46" s="122">
        <f>SUM(J38:J45)</f>
        <v>79.20727009010739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1581840</v>
      </c>
      <c r="D49" s="267">
        <v>0.7337278106508875</v>
      </c>
      <c r="E49" s="141">
        <f aca="true" t="shared" si="6" ref="E49:E57">C49*D49</f>
        <v>1160640</v>
      </c>
      <c r="F49" s="240">
        <v>19</v>
      </c>
      <c r="G49" s="241">
        <f>C49/F49</f>
        <v>83254.73684210527</v>
      </c>
      <c r="H49" s="25" t="s">
        <v>175</v>
      </c>
      <c r="I49" s="81"/>
      <c r="J49" s="129">
        <v>200000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364500</v>
      </c>
      <c r="D51" s="268">
        <v>0.5555555555555556</v>
      </c>
      <c r="E51" s="141">
        <f t="shared" si="6"/>
        <v>202500</v>
      </c>
      <c r="F51" s="240">
        <v>4</v>
      </c>
      <c r="G51" s="241">
        <f>C51/F51</f>
        <v>91125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25000</v>
      </c>
      <c r="D52" s="269">
        <v>0.7337278106508875</v>
      </c>
      <c r="E52" s="141">
        <f t="shared" si="6"/>
        <v>18343.19526627219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25000</v>
      </c>
      <c r="D53" s="269">
        <v>0.75</v>
      </c>
      <c r="E53" s="141">
        <f t="shared" si="6"/>
        <v>18750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25000</v>
      </c>
      <c r="D54" s="269">
        <v>0.7337278106508875</v>
      </c>
      <c r="E54" s="141">
        <f t="shared" si="6"/>
        <v>18343.19526627219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15000</v>
      </c>
      <c r="D55" s="269">
        <v>0.5555555555555556</v>
      </c>
      <c r="E55" s="141">
        <f t="shared" si="6"/>
        <v>8333.333333333334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25000</v>
      </c>
      <c r="D56" s="269">
        <v>0.5555555555555556</v>
      </c>
      <c r="E56" s="141">
        <f t="shared" si="6"/>
        <v>13888.888888888889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529500</v>
      </c>
      <c r="D58" s="271">
        <f>E58/C58</f>
        <v>0.6140861430684921</v>
      </c>
      <c r="E58" s="141">
        <f>SUM(E51:E57)</f>
        <v>325158.61275476654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750000</v>
      </c>
      <c r="D60" s="269">
        <v>0.9</v>
      </c>
      <c r="E60" s="141">
        <f>C60*D60</f>
        <v>675000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500000</v>
      </c>
      <c r="D61" s="269">
        <v>0.9</v>
      </c>
      <c r="E61" s="141">
        <f>C61*D61</f>
        <v>450000</v>
      </c>
      <c r="F61" s="7"/>
      <c r="H61" s="25" t="s">
        <v>106</v>
      </c>
      <c r="I61" s="26"/>
      <c r="J61" s="157">
        <f>C22</f>
        <v>18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25000</v>
      </c>
      <c r="D63" s="270">
        <v>0.9</v>
      </c>
      <c r="E63" s="146">
        <f>C63*D63</f>
        <v>22500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1285000</v>
      </c>
      <c r="D64" s="271">
        <f>E64/C64</f>
        <v>0.9</v>
      </c>
      <c r="E64" s="141">
        <f>SUM(E60:E63)</f>
        <v>1156500</v>
      </c>
      <c r="F64" s="7"/>
      <c r="H64" s="161" t="s">
        <v>210</v>
      </c>
      <c r="I64" s="162"/>
      <c r="J64" s="163">
        <f>J60*J63</f>
        <v>72600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300000</v>
      </c>
      <c r="D66" s="269">
        <v>0.6</v>
      </c>
      <c r="E66" s="141">
        <f aca="true" t="shared" si="8" ref="E66:E71">C66*D66</f>
        <v>180000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10000</v>
      </c>
      <c r="D67" s="269">
        <v>0.9</v>
      </c>
      <c r="E67" s="141">
        <f t="shared" si="8"/>
        <v>9000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25000</v>
      </c>
      <c r="D69" s="269">
        <v>0.5</v>
      </c>
      <c r="E69" s="141">
        <f t="shared" si="8"/>
        <v>12500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100000</v>
      </c>
      <c r="D70" s="269">
        <v>0.5</v>
      </c>
      <c r="E70" s="141">
        <f t="shared" si="8"/>
        <v>50000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25000</v>
      </c>
      <c r="D71" s="270">
        <v>0.9</v>
      </c>
      <c r="E71" s="146">
        <f t="shared" si="8"/>
        <v>22500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470000</v>
      </c>
      <c r="D72" s="148">
        <f>E72/C72</f>
        <v>0.5936170212765958</v>
      </c>
      <c r="E72" s="141">
        <f>SUM(E66:E71)</f>
        <v>279000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750000</v>
      </c>
      <c r="D74" s="269">
        <v>0.6</v>
      </c>
      <c r="E74" s="141">
        <f>C74*D74</f>
        <v>450000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100000</v>
      </c>
      <c r="D75" s="269">
        <v>0.75</v>
      </c>
      <c r="E75" s="141">
        <f>C75*D75</f>
        <v>75000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7535.4609929078015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250000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361702.1276595745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1200000</v>
      </c>
      <c r="D78" s="271">
        <f>E78/C78</f>
        <v>0.4583333333333333</v>
      </c>
      <c r="E78" s="179">
        <f>SUM(E74:E77)</f>
        <v>550000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658297.8723404256</v>
      </c>
      <c r="D81" s="269">
        <v>0.0999999999999998</v>
      </c>
      <c r="E81" s="141">
        <f>C81*D81</f>
        <v>65829.78723404242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42.5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1683297.8723404256</v>
      </c>
      <c r="D83" s="271">
        <f>E83/C83</f>
        <v>0.052474246350249554</v>
      </c>
      <c r="E83" s="186">
        <f>SUM(E80:E82)</f>
        <v>88329.78723404242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117830.8510638298</v>
      </c>
      <c r="D85" s="273">
        <f>E85/C85</f>
        <v>0.05247424635024956</v>
      </c>
      <c r="E85" s="194">
        <f>$C$84*E83</f>
        <v>6183.0851063829705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25000</v>
      </c>
      <c r="D87" s="269">
        <v>0.9</v>
      </c>
      <c r="E87" s="141">
        <f>C87*D87</f>
        <v>22500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25000</v>
      </c>
      <c r="D88" s="269">
        <v>0.75</v>
      </c>
      <c r="E88" s="141">
        <f>C88*D88</f>
        <v>18750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25000</v>
      </c>
      <c r="D89" s="269">
        <v>0.9</v>
      </c>
      <c r="E89" s="146">
        <f>C89*D89</f>
        <v>22500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75000</v>
      </c>
      <c r="D90" s="272">
        <f>E90/C90</f>
        <v>0.85</v>
      </c>
      <c r="E90" s="139">
        <f>SUM(E87:E89)</f>
        <v>63750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72600</v>
      </c>
      <c r="D92" s="267">
        <v>1</v>
      </c>
      <c r="E92" s="128">
        <f>C92*D92</f>
        <v>72600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M47" sqref="M47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8.4218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4.8515625" style="3" customWidth="1"/>
    <col min="14" max="14" width="22.140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265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305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R5" s="11"/>
    </row>
    <row r="6" spans="1:32" s="12" customFormat="1" ht="15.75">
      <c r="A6" s="1">
        <f t="shared" si="0"/>
        <v>6</v>
      </c>
      <c r="B6" s="13" t="s">
        <v>4</v>
      </c>
      <c r="C6" s="14">
        <v>3</v>
      </c>
      <c r="D6" s="11"/>
      <c r="F6" s="15" t="s">
        <v>5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8</v>
      </c>
      <c r="G7" s="26"/>
      <c r="H7" s="27"/>
      <c r="I7" s="28" t="s">
        <v>15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20</v>
      </c>
      <c r="G8" s="26"/>
      <c r="H8" s="33"/>
      <c r="I8" s="34" t="s">
        <v>11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24</v>
      </c>
      <c r="G9" s="26"/>
      <c r="H9" s="33"/>
      <c r="I9" s="34" t="s">
        <v>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28</v>
      </c>
      <c r="G10" s="26"/>
      <c r="H10" s="33"/>
      <c r="I10" s="39" t="s">
        <v>86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F11" s="25" t="s">
        <v>35</v>
      </c>
      <c r="G11" s="26"/>
      <c r="H11" s="33"/>
      <c r="I11" s="41">
        <v>1000000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F12" s="25" t="s">
        <v>45</v>
      </c>
      <c r="G12" s="26"/>
      <c r="H12" s="33"/>
      <c r="I12" s="41">
        <v>2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F13" s="25" t="s">
        <v>51</v>
      </c>
      <c r="G13" s="26"/>
      <c r="H13" s="33"/>
      <c r="I13" s="44" t="s">
        <v>266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F14" s="25" t="s">
        <v>58</v>
      </c>
      <c r="G14" s="26"/>
      <c r="H14" s="33"/>
      <c r="I14" s="44" t="s">
        <v>59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F15" s="25" t="s">
        <v>65</v>
      </c>
      <c r="G15" s="26"/>
      <c r="H15" s="33"/>
      <c r="I15" s="47">
        <f>C23*C26/1000</f>
        <v>3625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F16" s="25" t="s">
        <v>46</v>
      </c>
      <c r="G16" s="26"/>
      <c r="H16" s="33"/>
      <c r="I16" s="44" t="s">
        <v>37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F17" s="25" t="s">
        <v>80</v>
      </c>
      <c r="G17" s="26"/>
      <c r="H17" s="33"/>
      <c r="I17" s="51">
        <v>125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F18" s="25" t="s">
        <v>85</v>
      </c>
      <c r="G18" s="26"/>
      <c r="H18" s="33"/>
      <c r="I18" s="53">
        <f>I11/I17/1000</f>
        <v>8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F19" s="25" t="s">
        <v>90</v>
      </c>
      <c r="G19" s="26"/>
      <c r="H19" s="33"/>
      <c r="I19" s="51" t="s">
        <v>93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1955</v>
      </c>
      <c r="D20" s="7"/>
      <c r="F20" s="25" t="s">
        <v>96</v>
      </c>
      <c r="H20" s="56"/>
      <c r="I20" s="51" t="s">
        <v>91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F21" s="25" t="s">
        <v>103</v>
      </c>
      <c r="G21" s="26"/>
      <c r="H21" s="33"/>
      <c r="I21" s="51" t="s">
        <v>98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52</v>
      </c>
      <c r="D22" s="7"/>
      <c r="F22" s="25" t="s">
        <v>107</v>
      </c>
      <c r="H22" s="56"/>
      <c r="I22" s="51" t="s">
        <v>100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14500</v>
      </c>
      <c r="D23" s="7"/>
      <c r="F23" s="25" t="s">
        <v>109</v>
      </c>
      <c r="H23" s="56"/>
      <c r="I23" s="51" t="s">
        <v>22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75</v>
      </c>
      <c r="D24" s="7"/>
      <c r="F24" s="25" t="s">
        <v>104</v>
      </c>
      <c r="G24" s="26"/>
      <c r="H24" s="33"/>
      <c r="I24" s="51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300</v>
      </c>
      <c r="D25" s="7"/>
      <c r="F25" s="25" t="s">
        <v>113</v>
      </c>
      <c r="G25" s="26"/>
      <c r="H25" s="33"/>
      <c r="I25" s="41">
        <v>2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250</v>
      </c>
      <c r="D26" s="7"/>
      <c r="F26" s="67" t="s">
        <v>116</v>
      </c>
      <c r="G26" s="68"/>
      <c r="H26" s="69"/>
      <c r="I26" s="70" t="s">
        <v>67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250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49.34689922381759</v>
      </c>
      <c r="D29" s="7"/>
      <c r="E29" s="76"/>
      <c r="J29" s="7"/>
      <c r="O29" s="7"/>
      <c r="P29" s="7"/>
      <c r="Q29" s="79"/>
      <c r="R29" s="79"/>
      <c r="W29" s="15" t="s">
        <v>123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49.34689922381759</v>
      </c>
      <c r="D30" s="7"/>
      <c r="J30" s="7"/>
      <c r="O30" s="7"/>
      <c r="P30" s="7"/>
      <c r="Q30" s="79"/>
      <c r="R30" s="79"/>
      <c r="W30" s="25" t="s">
        <v>124</v>
      </c>
      <c r="X30" s="26"/>
      <c r="Y30" s="79"/>
      <c r="Z30" s="28" t="s">
        <v>11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126</v>
      </c>
      <c r="X31" s="26"/>
      <c r="Y31" s="79"/>
      <c r="Z31" s="34" t="s">
        <v>22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137</v>
      </c>
      <c r="X32" s="26"/>
      <c r="Y32" s="79"/>
      <c r="Z32" s="34" t="s">
        <v>32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138</v>
      </c>
      <c r="X33" s="26"/>
      <c r="Y33" s="79"/>
      <c r="Z33" s="34" t="s">
        <v>37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49.34689922381759</v>
      </c>
      <c r="C34" s="91">
        <v>1.1</v>
      </c>
      <c r="D34" s="92">
        <f>J38</f>
        <v>18.360986301369863</v>
      </c>
      <c r="E34" s="92">
        <f>J39</f>
        <v>6.163338024143012</v>
      </c>
      <c r="F34" s="92">
        <f>J40</f>
        <v>10.257534246575343</v>
      </c>
      <c r="G34" s="92">
        <f>J41</f>
        <v>4.449315068493151</v>
      </c>
      <c r="H34" s="92">
        <f>J42</f>
        <v>2.7945205479452055</v>
      </c>
      <c r="I34" s="92">
        <f>J43</f>
        <v>1.5529315068493152</v>
      </c>
      <c r="J34" s="92">
        <f>J44</f>
        <v>0.5589041095890411</v>
      </c>
      <c r="K34" s="93">
        <f>J45</f>
        <v>0.7956164383561644</v>
      </c>
      <c r="M34"/>
      <c r="N34"/>
      <c r="O34"/>
      <c r="P34"/>
      <c r="Q34"/>
      <c r="R34" s="79"/>
      <c r="W34" s="25" t="s">
        <v>139</v>
      </c>
      <c r="X34" s="26"/>
      <c r="Y34" s="79"/>
      <c r="Z34" s="39" t="s">
        <v>140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142</v>
      </c>
      <c r="X35" s="26"/>
      <c r="Y35" s="79"/>
      <c r="Z35" s="51">
        <v>171.7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152</v>
      </c>
      <c r="X36" s="26"/>
      <c r="Y36" s="79"/>
      <c r="Z36" s="41">
        <v>3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46</v>
      </c>
      <c r="X37" s="26"/>
      <c r="Y37" s="79"/>
      <c r="Z37" s="44" t="s">
        <v>37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2221440</v>
      </c>
      <c r="D38" s="104">
        <f aca="true" t="shared" si="1" ref="D38:D45">C38/$C$26</f>
        <v>8885.76</v>
      </c>
      <c r="E38" s="105">
        <f aca="true" t="shared" si="2" ref="E38:E45">C38/$C$26/365</f>
        <v>24.34454794520548</v>
      </c>
      <c r="F38" s="106">
        <f>C38-H38</f>
        <v>546000</v>
      </c>
      <c r="G38" s="107">
        <f aca="true" t="shared" si="3" ref="G38:G45">IF(C38=0,0,H38/C38)</f>
        <v>0.7542134831460674</v>
      </c>
      <c r="H38" s="103">
        <f>E49</f>
        <v>1675440</v>
      </c>
      <c r="I38" s="108">
        <f aca="true" t="shared" si="4" ref="I38:I45">H38/$C$26</f>
        <v>6701.76</v>
      </c>
      <c r="J38" s="109">
        <f aca="true" t="shared" si="5" ref="J38:J45">H38/$C$26/365</f>
        <v>18.360986301369863</v>
      </c>
      <c r="K38" s="7"/>
      <c r="L38" s="7"/>
      <c r="M38" s="198"/>
      <c r="N38" s="198"/>
      <c r="O38" s="198"/>
      <c r="P38" s="198"/>
      <c r="Q38" s="198"/>
      <c r="R38" s="79"/>
      <c r="W38" s="25" t="s">
        <v>80</v>
      </c>
      <c r="X38" s="26"/>
      <c r="Y38" s="79"/>
      <c r="Z38" s="51">
        <v>390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702500</v>
      </c>
      <c r="D39" s="104">
        <f t="shared" si="1"/>
        <v>2810</v>
      </c>
      <c r="E39" s="105">
        <f t="shared" si="2"/>
        <v>7.698630136986301</v>
      </c>
      <c r="F39" s="106">
        <f>C39-H39</f>
        <v>140095.40529695014</v>
      </c>
      <c r="G39" s="110">
        <f t="shared" si="3"/>
        <v>0.8005759355203557</v>
      </c>
      <c r="H39" s="103">
        <f>E58</f>
        <v>562404.5947030499</v>
      </c>
      <c r="I39" s="104">
        <f t="shared" si="4"/>
        <v>2249.6183788121994</v>
      </c>
      <c r="J39" s="109">
        <f t="shared" si="5"/>
        <v>6.163338024143012</v>
      </c>
      <c r="K39" s="7"/>
      <c r="L39" s="7"/>
      <c r="M39" s="198"/>
      <c r="N39" s="198"/>
      <c r="O39" s="198"/>
      <c r="P39" s="198"/>
      <c r="Q39" s="198"/>
      <c r="R39" s="79"/>
      <c r="W39" s="25" t="s">
        <v>113</v>
      </c>
      <c r="X39" s="26"/>
      <c r="Y39" s="79"/>
      <c r="Z39" s="41">
        <v>1</v>
      </c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1040000</v>
      </c>
      <c r="D40" s="104">
        <f t="shared" si="1"/>
        <v>4160</v>
      </c>
      <c r="E40" s="105">
        <f t="shared" si="2"/>
        <v>11.397260273972602</v>
      </c>
      <c r="F40" s="106">
        <f>C40-H40</f>
        <v>104000</v>
      </c>
      <c r="G40" s="110">
        <f t="shared" si="3"/>
        <v>0.9</v>
      </c>
      <c r="H40" s="103">
        <f>E64</f>
        <v>936000</v>
      </c>
      <c r="I40" s="104">
        <f t="shared" si="4"/>
        <v>3744</v>
      </c>
      <c r="J40" s="109">
        <f t="shared" si="5"/>
        <v>10.257534246575343</v>
      </c>
      <c r="K40" s="7"/>
      <c r="L40" s="7"/>
      <c r="M40" s="198"/>
      <c r="N40" s="198"/>
      <c r="O40" s="198"/>
      <c r="P40" s="198"/>
      <c r="Q40" s="198"/>
      <c r="R40" s="79"/>
      <c r="W40" s="25" t="s">
        <v>157</v>
      </c>
      <c r="X40" s="26"/>
      <c r="Y40" s="79"/>
      <c r="Z40" s="51">
        <v>30</v>
      </c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560000</v>
      </c>
      <c r="D41" s="104">
        <f t="shared" si="1"/>
        <v>2240</v>
      </c>
      <c r="E41" s="105">
        <f t="shared" si="2"/>
        <v>6.136986301369863</v>
      </c>
      <c r="F41" s="106">
        <f>C41-H41</f>
        <v>154000</v>
      </c>
      <c r="G41" s="110">
        <f t="shared" si="3"/>
        <v>0.725</v>
      </c>
      <c r="H41" s="103">
        <f>E72</f>
        <v>406000</v>
      </c>
      <c r="I41" s="104">
        <f t="shared" si="4"/>
        <v>1624</v>
      </c>
      <c r="J41" s="109">
        <f t="shared" si="5"/>
        <v>4.449315068493151</v>
      </c>
      <c r="K41" s="7"/>
      <c r="L41" s="7"/>
      <c r="M41" s="198"/>
      <c r="N41" s="198"/>
      <c r="O41" s="198"/>
      <c r="P41" s="198"/>
      <c r="Q41" s="198"/>
      <c r="R41" s="79"/>
      <c r="W41" s="25" t="s">
        <v>159</v>
      </c>
      <c r="X41" s="26"/>
      <c r="Y41" s="79"/>
      <c r="Z41" s="41" t="s">
        <v>56</v>
      </c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600000</v>
      </c>
      <c r="D42" s="104">
        <f t="shared" si="1"/>
        <v>2400</v>
      </c>
      <c r="E42" s="105">
        <f t="shared" si="2"/>
        <v>6.575342465753424</v>
      </c>
      <c r="F42" s="106">
        <f>C78-E78</f>
        <v>345000</v>
      </c>
      <c r="G42" s="110">
        <f t="shared" si="3"/>
        <v>0.425</v>
      </c>
      <c r="H42" s="103">
        <f>E78</f>
        <v>255000</v>
      </c>
      <c r="I42" s="104">
        <f t="shared" si="4"/>
        <v>1020</v>
      </c>
      <c r="J42" s="109">
        <f t="shared" si="5"/>
        <v>2.7945205479452055</v>
      </c>
      <c r="K42" s="7"/>
      <c r="L42" s="7"/>
      <c r="M42" s="198"/>
      <c r="N42" s="198"/>
      <c r="O42" s="198"/>
      <c r="P42" s="198"/>
      <c r="Q42" s="198"/>
      <c r="R42" s="79"/>
      <c r="W42" s="25" t="s">
        <v>161</v>
      </c>
      <c r="X42" s="26"/>
      <c r="Y42" s="79"/>
      <c r="Z42" s="41" t="s">
        <v>61</v>
      </c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225690</v>
      </c>
      <c r="D43" s="104">
        <f t="shared" si="1"/>
        <v>902.76</v>
      </c>
      <c r="E43" s="105">
        <f t="shared" si="2"/>
        <v>2.4733150684931506</v>
      </c>
      <c r="F43" s="106">
        <f>C43-H43</f>
        <v>83985</v>
      </c>
      <c r="G43" s="110">
        <f t="shared" si="3"/>
        <v>0.6278745181443574</v>
      </c>
      <c r="H43" s="103">
        <f>E85</f>
        <v>141705</v>
      </c>
      <c r="I43" s="104">
        <f t="shared" si="4"/>
        <v>566.82</v>
      </c>
      <c r="J43" s="109">
        <f t="shared" si="5"/>
        <v>1.5529315068493152</v>
      </c>
      <c r="K43" s="7"/>
      <c r="L43" s="7"/>
      <c r="M43" s="198"/>
      <c r="N43" s="198"/>
      <c r="O43" s="198"/>
      <c r="P43" s="198"/>
      <c r="Q43" s="198"/>
      <c r="R43" s="79"/>
      <c r="W43" s="25" t="s">
        <v>163</v>
      </c>
      <c r="X43" s="26"/>
      <c r="Y43" s="79"/>
      <c r="Z43" s="44" t="s">
        <v>164</v>
      </c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240</v>
      </c>
      <c r="E44" s="105">
        <f t="shared" si="2"/>
        <v>0.6575342465753424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204</v>
      </c>
      <c r="J44" s="109">
        <f t="shared" si="5"/>
        <v>0.5589041095890411</v>
      </c>
      <c r="K44" s="7"/>
      <c r="L44" s="7"/>
      <c r="M44" s="198"/>
      <c r="N44" s="198"/>
      <c r="O44" s="198"/>
      <c r="P44" s="198"/>
      <c r="Q44" s="198"/>
      <c r="R44" s="79"/>
      <c r="W44" s="25" t="s">
        <v>166</v>
      </c>
      <c r="X44" s="26"/>
      <c r="Y44" s="79"/>
      <c r="Z44" s="44" t="s">
        <v>167</v>
      </c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72600</v>
      </c>
      <c r="D45" s="113">
        <f t="shared" si="1"/>
        <v>290.4</v>
      </c>
      <c r="E45" s="114">
        <f t="shared" si="2"/>
        <v>0.7956164383561644</v>
      </c>
      <c r="F45" s="112">
        <f>C45-H45</f>
        <v>0</v>
      </c>
      <c r="G45" s="115">
        <f t="shared" si="3"/>
        <v>1</v>
      </c>
      <c r="H45" s="116">
        <f>E92</f>
        <v>72600</v>
      </c>
      <c r="I45" s="113">
        <f t="shared" si="4"/>
        <v>290.4</v>
      </c>
      <c r="J45" s="117">
        <f t="shared" si="5"/>
        <v>0.7956164383561644</v>
      </c>
      <c r="K45" s="7"/>
      <c r="L45" s="7"/>
      <c r="M45" s="198"/>
      <c r="N45" s="198"/>
      <c r="O45" s="198"/>
      <c r="P45" s="198"/>
      <c r="Q45" s="198"/>
      <c r="R45" s="79"/>
      <c r="W45" s="25" t="s">
        <v>169</v>
      </c>
      <c r="X45" s="26"/>
      <c r="Y45" s="79"/>
      <c r="Z45" s="44" t="s">
        <v>59</v>
      </c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5482230</v>
      </c>
      <c r="D46" s="119">
        <f>SUM(D38:D45)</f>
        <v>21928.920000000002</v>
      </c>
      <c r="E46" s="120">
        <f>SUM(E38:E45)</f>
        <v>60.07923287671232</v>
      </c>
      <c r="F46" s="119">
        <f>SUM(F38:F45)</f>
        <v>1382080.4052969501</v>
      </c>
      <c r="G46" s="121">
        <f>H46/C46</f>
        <v>0.7478981353761243</v>
      </c>
      <c r="H46" s="118">
        <f>SUM(H38:H45)</f>
        <v>4100149.59470305</v>
      </c>
      <c r="I46" s="118">
        <f>SUM(I38:I45)</f>
        <v>16400.5983788122</v>
      </c>
      <c r="J46" s="122">
        <f>SUM(J38:J45)</f>
        <v>44.93314624332109</v>
      </c>
      <c r="K46" s="7"/>
      <c r="L46" s="7"/>
      <c r="M46" s="198"/>
      <c r="N46" s="198"/>
      <c r="O46" s="198"/>
      <c r="P46" s="198"/>
      <c r="Q46" s="198"/>
      <c r="R46" s="79"/>
      <c r="W46" s="25" t="s">
        <v>170</v>
      </c>
      <c r="X46" s="7"/>
      <c r="Y46" s="7"/>
      <c r="Z46" s="44" t="s">
        <v>59</v>
      </c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66</v>
      </c>
      <c r="X47" s="26"/>
      <c r="Y47" s="79"/>
      <c r="Z47" s="126" t="s">
        <v>67</v>
      </c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176</v>
      </c>
      <c r="X48" s="26"/>
      <c r="Y48" s="79"/>
      <c r="Z48" s="131" t="s">
        <v>73</v>
      </c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2221440</v>
      </c>
      <c r="D49" s="267">
        <v>0.7542134831460674</v>
      </c>
      <c r="E49" s="141">
        <f aca="true" t="shared" si="6" ref="E49:E57">C49*D49</f>
        <v>1675440</v>
      </c>
      <c r="F49" s="240">
        <v>27</v>
      </c>
      <c r="G49" s="241">
        <f>C49/F49</f>
        <v>82275.55555555556</v>
      </c>
      <c r="H49" s="25" t="s">
        <v>175</v>
      </c>
      <c r="I49" s="81"/>
      <c r="J49" s="129">
        <v>200000</v>
      </c>
      <c r="K49" s="7"/>
      <c r="L49" s="7"/>
      <c r="M49" s="7"/>
      <c r="N49" s="7"/>
      <c r="O49" s="7"/>
      <c r="P49" s="7"/>
      <c r="Q49" s="130"/>
      <c r="R49" s="130"/>
      <c r="W49" s="67" t="s">
        <v>179</v>
      </c>
      <c r="X49" s="68"/>
      <c r="Y49" s="135"/>
      <c r="Z49" s="137" t="s">
        <v>59</v>
      </c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472500</v>
      </c>
      <c r="D51" s="268">
        <v>0.7964285714285714</v>
      </c>
      <c r="E51" s="141">
        <f t="shared" si="6"/>
        <v>376312.5</v>
      </c>
      <c r="F51" s="240">
        <v>5</v>
      </c>
      <c r="G51" s="241">
        <f>C51/F51</f>
        <v>94500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30000</v>
      </c>
      <c r="D52" s="269">
        <v>0.7542134831460674</v>
      </c>
      <c r="E52" s="141">
        <f t="shared" si="6"/>
        <v>22626.404494382023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30000</v>
      </c>
      <c r="D54" s="269">
        <v>0.7542134831460674</v>
      </c>
      <c r="E54" s="141">
        <f t="shared" si="6"/>
        <v>22626.404494382023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15000</v>
      </c>
      <c r="D55" s="269">
        <v>0.7964285714285714</v>
      </c>
      <c r="E55" s="141">
        <f t="shared" si="6"/>
        <v>11946.42857142857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30000</v>
      </c>
      <c r="D56" s="269">
        <v>0.7964285714285714</v>
      </c>
      <c r="E56" s="141">
        <f t="shared" si="6"/>
        <v>23892.85714285714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75000</v>
      </c>
      <c r="D57" s="270">
        <v>0.9</v>
      </c>
      <c r="E57" s="146">
        <f t="shared" si="6"/>
        <v>67500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702500</v>
      </c>
      <c r="D58" s="271">
        <f>E58/C58</f>
        <v>0.8005759355203557</v>
      </c>
      <c r="E58" s="141">
        <f>SUM(E51:E57)</f>
        <v>562404.5947030499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750000</v>
      </c>
      <c r="D60" s="269">
        <v>0.9</v>
      </c>
      <c r="E60" s="141">
        <f>C60*D60</f>
        <v>675000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250000</v>
      </c>
      <c r="D61" s="269">
        <v>0.9</v>
      </c>
      <c r="E61" s="141">
        <f>C61*D61</f>
        <v>225000</v>
      </c>
      <c r="F61" s="7"/>
      <c r="H61" s="25" t="s">
        <v>106</v>
      </c>
      <c r="I61" s="26"/>
      <c r="J61" s="157">
        <f>C22</f>
        <v>52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15000</v>
      </c>
      <c r="D62" s="269">
        <v>0.9</v>
      </c>
      <c r="E62" s="141">
        <f>C62*D62</f>
        <v>13500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25000</v>
      </c>
      <c r="D63" s="270">
        <v>0.9</v>
      </c>
      <c r="E63" s="146">
        <f>C63*D63</f>
        <v>22500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1040000</v>
      </c>
      <c r="D64" s="271">
        <f>E64/C64</f>
        <v>0.9</v>
      </c>
      <c r="E64" s="141">
        <f>SUM(E60:E63)</f>
        <v>936000</v>
      </c>
      <c r="F64" s="7"/>
      <c r="H64" s="161" t="s">
        <v>210</v>
      </c>
      <c r="I64" s="162"/>
      <c r="J64" s="163">
        <f>J60*J63</f>
        <v>72600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225000</v>
      </c>
      <c r="D66" s="269">
        <v>0.9</v>
      </c>
      <c r="E66" s="141">
        <f aca="true" t="shared" si="8" ref="E66:E71">C66*D66</f>
        <v>202500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15000</v>
      </c>
      <c r="D67" s="269">
        <v>0.9</v>
      </c>
      <c r="E67" s="141">
        <f t="shared" si="8"/>
        <v>13500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15000</v>
      </c>
      <c r="D68" s="269">
        <v>0.5</v>
      </c>
      <c r="E68" s="141">
        <f t="shared" si="8"/>
        <v>7500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30000</v>
      </c>
      <c r="D69" s="269">
        <v>0.5</v>
      </c>
      <c r="E69" s="141">
        <f t="shared" si="8"/>
        <v>15000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200000</v>
      </c>
      <c r="D70" s="269">
        <v>0.5</v>
      </c>
      <c r="E70" s="141">
        <f t="shared" si="8"/>
        <v>100000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75000</v>
      </c>
      <c r="D71" s="270">
        <v>0.9</v>
      </c>
      <c r="E71" s="146">
        <f t="shared" si="8"/>
        <v>67500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560000</v>
      </c>
      <c r="D72" s="271">
        <f>E72/C72</f>
        <v>0.725</v>
      </c>
      <c r="E72" s="141">
        <f>SUM(E66:E71)</f>
        <v>406000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300000</v>
      </c>
      <c r="D74" s="269">
        <v>0.6</v>
      </c>
      <c r="E74" s="141">
        <f>C74*D74</f>
        <v>180000</v>
      </c>
      <c r="F74" s="7"/>
      <c r="H74" s="25" t="s">
        <v>230</v>
      </c>
      <c r="I74" s="26"/>
      <c r="J74" s="28">
        <v>4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75000</v>
      </c>
      <c r="D75" s="269">
        <v>0.75</v>
      </c>
      <c r="E75" s="141">
        <f>C75*D75</f>
        <v>56250</v>
      </c>
      <c r="F75" s="7"/>
      <c r="H75" s="25" t="s">
        <v>232</v>
      </c>
      <c r="I75" s="26"/>
      <c r="J75" s="50">
        <v>150000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75000</v>
      </c>
      <c r="D76" s="269">
        <v>0.25</v>
      </c>
      <c r="E76" s="141">
        <f>C76*D76</f>
        <v>18750</v>
      </c>
      <c r="F76" s="7"/>
      <c r="H76" s="25" t="s">
        <v>234</v>
      </c>
      <c r="I76" s="26"/>
      <c r="J76" s="177">
        <f>C23*C26*1000/J75</f>
        <v>24166.666666666668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150000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2320000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600000</v>
      </c>
      <c r="D78" s="271">
        <f>E78/C78</f>
        <v>0.425</v>
      </c>
      <c r="E78" s="179">
        <f>SUM(E74:E77)</f>
        <v>255000</v>
      </c>
      <c r="F78" s="7"/>
      <c r="H78" s="67" t="s">
        <v>237</v>
      </c>
      <c r="I78" s="68"/>
      <c r="J78" s="180">
        <v>1.06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500000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2459200</v>
      </c>
      <c r="D81" s="269">
        <v>0.75</v>
      </c>
      <c r="E81" s="141">
        <f>C81*D81</f>
        <v>1844400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145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3009200</v>
      </c>
      <c r="D83" s="271">
        <f>E83/C83</f>
        <v>0.6278745181443574</v>
      </c>
      <c r="E83" s="186">
        <f>SUM(E80:E82)</f>
        <v>1889400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0.075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225690</v>
      </c>
      <c r="D85" s="273">
        <f>E85/C85</f>
        <v>0.6278745181443574</v>
      </c>
      <c r="E85" s="194">
        <f>$C$84*E83</f>
        <v>141705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72600</v>
      </c>
      <c r="D92" s="267">
        <v>1</v>
      </c>
      <c r="E92" s="128">
        <f>C92*D92</f>
        <v>72600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I26 Z47">
      <formula1>$X$15:$AD$15</formula1>
    </dataValidation>
    <dataValidation type="list" allowBlank="1" showInputMessage="1" showErrorMessage="1" sqref="I19:I20">
      <formula1>$X$19:$AE$19</formula1>
    </dataValidation>
    <dataValidation type="list" allowBlank="1" showInputMessage="1" showErrorMessage="1" sqref="I21:I23">
      <formula1>$X$20:$AD$20</formula1>
    </dataValidation>
    <dataValidation type="list" allowBlank="1" showInputMessage="1" showErrorMessage="1" sqref="I24">
      <formula1>$X$21:$AB$21</formula1>
    </dataValidation>
    <dataValidation type="list" allowBlank="1" showInputMessage="1" showErrorMessage="1" sqref="Z37 AD30 AD33 I16">
      <formula1>$X$12:$AF$12</formula1>
    </dataValidation>
    <dataValidation type="list" allowBlank="1" showInputMessage="1" showErrorMessage="1" sqref="Z30">
      <formula1>$X$7:$AA$7</formula1>
    </dataValidation>
    <dataValidation type="list" allowBlank="1" showInputMessage="1" showErrorMessage="1" sqref="Z31">
      <formula1>$X$8:$AA$8</formula1>
    </dataValidation>
    <dataValidation type="list" allowBlank="1" showInputMessage="1" showErrorMessage="1" sqref="Z32">
      <formula1>$X$10:$Z$10</formula1>
    </dataValidation>
    <dataValidation type="list" allowBlank="1" showInputMessage="1" showErrorMessage="1" sqref="Z33">
      <formula1>$X$11:$AF$11</formula1>
    </dataValidation>
    <dataValidation type="list" allowBlank="1" showInputMessage="1" showErrorMessage="1" sqref="Z41">
      <formula1>$X$13:$AC$13</formula1>
    </dataValidation>
    <dataValidation type="list" allowBlank="1" showInputMessage="1" showErrorMessage="1" sqref="Z42">
      <formula1>$X$14:$AD$14</formula1>
    </dataValidation>
    <dataValidation type="list" allowBlank="1" showInputMessage="1" showErrorMessage="1" sqref="Z48">
      <formula1>$X$16:$AE$16</formula1>
    </dataValidation>
    <dataValidation type="list" allowBlank="1" showInputMessage="1" showErrorMessage="1" sqref="I7">
      <formula1>$X$7:$AF$7</formula1>
    </dataValidation>
    <dataValidation type="list" allowBlank="1" showInputMessage="1" showErrorMessage="1" sqref="I8">
      <formula1>$X$9:$AB$9</formula1>
    </dataValidation>
    <dataValidation type="list" allowBlank="1" showInputMessage="1" showErrorMessage="1" sqref="I9">
      <formula1>$X$17:$AC$17</formula1>
    </dataValidation>
    <dataValidation type="list" allowBlank="1" showInputMessage="1" showErrorMessage="1" sqref="I10">
      <formula1>$X$18:$AC$18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7.140625" style="3" customWidth="1"/>
    <col min="8" max="8" width="16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4.8515625" style="3" customWidth="1"/>
    <col min="14" max="14" width="21.8515625" style="3" customWidth="1"/>
    <col min="15" max="15" width="12.57421875" style="3" customWidth="1"/>
    <col min="16" max="16" width="10.28125" style="3" customWidth="1"/>
    <col min="17" max="17" width="17.00390625" style="3" bestFit="1" customWidth="1"/>
    <col min="18" max="18" width="12.2812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1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262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4</v>
      </c>
      <c r="D6" s="11"/>
      <c r="F6" s="15" t="s">
        <v>5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8</v>
      </c>
      <c r="G7" s="26"/>
      <c r="H7" s="27"/>
      <c r="I7" s="28" t="s">
        <v>16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20</v>
      </c>
      <c r="G8" s="26"/>
      <c r="H8" s="33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24</v>
      </c>
      <c r="G9" s="26"/>
      <c r="H9" s="33"/>
      <c r="I9" s="34" t="s">
        <v>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28</v>
      </c>
      <c r="G10" s="26"/>
      <c r="H10" s="33"/>
      <c r="I10" s="39" t="s">
        <v>86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F11" s="25" t="s">
        <v>35</v>
      </c>
      <c r="G11" s="26"/>
      <c r="H11" s="33"/>
      <c r="I11" s="41">
        <v>3800000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F12" s="25" t="s">
        <v>45</v>
      </c>
      <c r="G12" s="26"/>
      <c r="H12" s="33"/>
      <c r="I12" s="41">
        <v>1</v>
      </c>
      <c r="J12" s="7"/>
      <c r="K12" s="207" t="s">
        <v>319</v>
      </c>
      <c r="L12" s="26"/>
      <c r="M12" s="26"/>
      <c r="N12" s="245">
        <v>0</v>
      </c>
      <c r="O12" s="7"/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F13" s="25" t="s">
        <v>51</v>
      </c>
      <c r="G13" s="26"/>
      <c r="H13" s="33"/>
      <c r="I13" s="44" t="s">
        <v>263</v>
      </c>
      <c r="J13" s="7"/>
      <c r="K13" s="207" t="s">
        <v>320</v>
      </c>
      <c r="L13" s="26"/>
      <c r="M13" s="26"/>
      <c r="N13" s="245">
        <v>0</v>
      </c>
      <c r="O13" s="7"/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F14" s="25" t="s">
        <v>58</v>
      </c>
      <c r="G14" s="26"/>
      <c r="H14" s="33"/>
      <c r="I14" s="44" t="s">
        <v>264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F15" s="25" t="s">
        <v>65</v>
      </c>
      <c r="G15" s="26"/>
      <c r="H15" s="33"/>
      <c r="I15" s="47">
        <f>C23*C26/1000</f>
        <v>5125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F16" s="25" t="s">
        <v>46</v>
      </c>
      <c r="G16" s="26"/>
      <c r="H16" s="33"/>
      <c r="I16" s="44" t="s">
        <v>37</v>
      </c>
      <c r="J16" s="7"/>
      <c r="K16" s="285" t="s">
        <v>340</v>
      </c>
      <c r="L16" s="286"/>
      <c r="M16" s="286"/>
      <c r="N16" s="287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F17" s="25" t="s">
        <v>80</v>
      </c>
      <c r="G17" s="26"/>
      <c r="H17" s="33"/>
      <c r="I17" s="51">
        <v>525</v>
      </c>
      <c r="J17" s="7"/>
      <c r="K17" s="279" t="s">
        <v>336</v>
      </c>
      <c r="L17" s="280"/>
      <c r="M17" s="280"/>
      <c r="N17" s="281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F18" s="25" t="s">
        <v>85</v>
      </c>
      <c r="G18" s="26"/>
      <c r="H18" s="33"/>
      <c r="I18" s="53">
        <f>I11/I17/1000</f>
        <v>7.238095238095238</v>
      </c>
      <c r="J18" s="7"/>
      <c r="K18" s="279" t="s">
        <v>337</v>
      </c>
      <c r="L18" s="280"/>
      <c r="M18" s="280"/>
      <c r="N18" s="281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29</v>
      </c>
      <c r="AB18" s="37" t="s">
        <v>44</v>
      </c>
      <c r="AC18" s="37" t="s">
        <v>22</v>
      </c>
      <c r="AD18" s="37" t="s">
        <v>33</v>
      </c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F19" s="25" t="s">
        <v>90</v>
      </c>
      <c r="G19" s="26"/>
      <c r="H19" s="33"/>
      <c r="I19" s="51" t="s">
        <v>93</v>
      </c>
      <c r="J19" s="7"/>
      <c r="K19" s="279" t="s">
        <v>334</v>
      </c>
      <c r="L19" s="280"/>
      <c r="M19" s="280"/>
      <c r="N19" s="281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1968</v>
      </c>
      <c r="D20" s="7"/>
      <c r="F20" s="25" t="s">
        <v>96</v>
      </c>
      <c r="H20" s="56"/>
      <c r="I20" s="51" t="s">
        <v>91</v>
      </c>
      <c r="J20" s="7"/>
      <c r="K20" s="279" t="s">
        <v>341</v>
      </c>
      <c r="L20" s="280"/>
      <c r="M20" s="280"/>
      <c r="N20" s="281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F21" s="25" t="s">
        <v>103</v>
      </c>
      <c r="G21" s="26"/>
      <c r="H21" s="33"/>
      <c r="I21" s="51" t="s">
        <v>98</v>
      </c>
      <c r="J21" s="7"/>
      <c r="K21" s="279" t="s">
        <v>335</v>
      </c>
      <c r="L21" s="280"/>
      <c r="M21" s="280"/>
      <c r="N21" s="28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39</v>
      </c>
      <c r="D22" s="7"/>
      <c r="F22" s="25" t="s">
        <v>107</v>
      </c>
      <c r="H22" s="56"/>
      <c r="I22" s="51" t="s">
        <v>101</v>
      </c>
      <c r="J22" s="7"/>
      <c r="K22" s="279" t="s">
        <v>339</v>
      </c>
      <c r="L22" s="280"/>
      <c r="M22" s="280"/>
      <c r="N22" s="28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10250</v>
      </c>
      <c r="D23" s="7"/>
      <c r="F23" s="25" t="s">
        <v>109</v>
      </c>
      <c r="H23" s="56"/>
      <c r="I23" s="51" t="s">
        <v>100</v>
      </c>
      <c r="J23" s="7"/>
      <c r="K23" s="282" t="s">
        <v>338</v>
      </c>
      <c r="L23" s="283"/>
      <c r="M23" s="283"/>
      <c r="N23" s="284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375</v>
      </c>
      <c r="D24" s="7"/>
      <c r="F24" s="25" t="s">
        <v>104</v>
      </c>
      <c r="G24" s="26"/>
      <c r="H24" s="33"/>
      <c r="I24" s="51" t="s">
        <v>105</v>
      </c>
      <c r="J24" s="7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750</v>
      </c>
      <c r="D25" s="7"/>
      <c r="F25" s="25" t="s">
        <v>113</v>
      </c>
      <c r="G25" s="26"/>
      <c r="H25" s="33"/>
      <c r="I25" s="41">
        <v>1</v>
      </c>
      <c r="J25" s="7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500</v>
      </c>
      <c r="D26" s="7"/>
      <c r="F26" s="67" t="s">
        <v>116</v>
      </c>
      <c r="G26" s="68"/>
      <c r="H26" s="69"/>
      <c r="I26" s="70" t="s">
        <v>69</v>
      </c>
      <c r="J26" s="7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500</v>
      </c>
      <c r="D28" s="7"/>
      <c r="J28" s="7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 thickBot="1">
      <c r="A29" s="1">
        <f t="shared" si="0"/>
        <v>29</v>
      </c>
      <c r="B29" s="49" t="s">
        <v>121</v>
      </c>
      <c r="C29" s="75">
        <f>B34</f>
        <v>129.01270086634028</v>
      </c>
      <c r="D29" s="7"/>
      <c r="E29" s="76"/>
      <c r="J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129.01270086634028</v>
      </c>
      <c r="D30" s="7"/>
      <c r="J30" s="7"/>
      <c r="W30" s="15" t="s">
        <v>123</v>
      </c>
      <c r="X30" s="16"/>
      <c r="Y30" s="17"/>
      <c r="Z30" s="16"/>
      <c r="AA30" s="1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W31" s="25" t="s">
        <v>124</v>
      </c>
      <c r="X31" s="26"/>
      <c r="Y31" s="79"/>
      <c r="Z31" s="81"/>
      <c r="AA31" s="28" t="s">
        <v>11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W32" s="25" t="s">
        <v>126</v>
      </c>
      <c r="X32" s="26"/>
      <c r="Y32" s="79"/>
      <c r="Z32" s="85"/>
      <c r="AA32" s="34" t="s">
        <v>22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W33" s="25" t="s">
        <v>137</v>
      </c>
      <c r="X33" s="26"/>
      <c r="Y33" s="79"/>
      <c r="Z33" s="85"/>
      <c r="AA33" s="34" t="s">
        <v>31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129.01270086634028</v>
      </c>
      <c r="C34" s="91">
        <v>1.1</v>
      </c>
      <c r="D34" s="92">
        <f>J38</f>
        <v>53.20241095890411</v>
      </c>
      <c r="E34" s="92">
        <f>J39</f>
        <v>16.266656726746383</v>
      </c>
      <c r="F34" s="92">
        <f>J40</f>
        <v>30.945205479452056</v>
      </c>
      <c r="G34" s="92">
        <f>J41</f>
        <v>4.47945205479452</v>
      </c>
      <c r="H34" s="92">
        <f>J42</f>
        <v>5.890410958904109</v>
      </c>
      <c r="I34" s="92">
        <f>J43</f>
        <v>2.4110962401632183</v>
      </c>
      <c r="J34" s="92">
        <f>J44</f>
        <v>0.6986301369863014</v>
      </c>
      <c r="K34" s="93">
        <f>J45</f>
        <v>3.7294520547945207</v>
      </c>
      <c r="W34" s="25" t="s">
        <v>138</v>
      </c>
      <c r="X34" s="26"/>
      <c r="Y34" s="79"/>
      <c r="Z34" s="85"/>
      <c r="AA34" s="34" t="s">
        <v>37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W35" s="25" t="s">
        <v>139</v>
      </c>
      <c r="X35" s="26"/>
      <c r="Y35" s="79"/>
      <c r="Z35" s="85"/>
      <c r="AA35" s="39" t="s">
        <v>140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R36" s="79"/>
      <c r="W36" s="25" t="s">
        <v>142</v>
      </c>
      <c r="X36" s="26"/>
      <c r="Y36" s="79"/>
      <c r="Z36" s="85"/>
      <c r="AA36" s="51">
        <v>171.7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R37" s="79"/>
      <c r="W37" s="25" t="s">
        <v>152</v>
      </c>
      <c r="X37" s="26"/>
      <c r="Y37" s="79"/>
      <c r="Z37" s="85"/>
      <c r="AA37" s="41">
        <v>2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10944960</v>
      </c>
      <c r="D38" s="104">
        <f aca="true" t="shared" si="1" ref="D38:D45">C38/$C$26</f>
        <v>21889.92</v>
      </c>
      <c r="E38" s="105">
        <f aca="true" t="shared" si="2" ref="E38:E45">C38/$C$26/365</f>
        <v>59.97238356164383</v>
      </c>
      <c r="F38" s="106">
        <f>C38-H38</f>
        <v>1235520</v>
      </c>
      <c r="G38" s="107">
        <f aca="true" t="shared" si="3" ref="G38:G45">IF(C38=0,0,H38/C38)</f>
        <v>0.887115165336374</v>
      </c>
      <c r="H38" s="103">
        <f>E49</f>
        <v>9709440</v>
      </c>
      <c r="I38" s="108">
        <f aca="true" t="shared" si="4" ref="I38:I45">H38/$C$26</f>
        <v>19418.88</v>
      </c>
      <c r="J38" s="109">
        <f aca="true" t="shared" si="5" ref="J38:J45">H38/$C$26/365</f>
        <v>53.20241095890411</v>
      </c>
      <c r="K38" s="7"/>
      <c r="L38" s="7"/>
      <c r="R38" s="79"/>
      <c r="W38" s="25" t="s">
        <v>46</v>
      </c>
      <c r="X38" s="26"/>
      <c r="Y38" s="79"/>
      <c r="Z38" s="85"/>
      <c r="AA38" s="44" t="s">
        <v>37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3292500</v>
      </c>
      <c r="D39" s="104">
        <f t="shared" si="1"/>
        <v>6585</v>
      </c>
      <c r="E39" s="105">
        <f t="shared" si="2"/>
        <v>18.041095890410958</v>
      </c>
      <c r="F39" s="106">
        <f>C39-H39</f>
        <v>323835.147368785</v>
      </c>
      <c r="G39" s="110">
        <f t="shared" si="3"/>
        <v>0.9016446021658967</v>
      </c>
      <c r="H39" s="103">
        <f>E58</f>
        <v>2968664.852631215</v>
      </c>
      <c r="I39" s="104">
        <f t="shared" si="4"/>
        <v>5937.32970526243</v>
      </c>
      <c r="J39" s="109">
        <f t="shared" si="5"/>
        <v>16.266656726746383</v>
      </c>
      <c r="K39" s="7"/>
      <c r="L39" s="7"/>
      <c r="R39" s="79"/>
      <c r="W39" s="25" t="s">
        <v>80</v>
      </c>
      <c r="X39" s="26"/>
      <c r="Y39" s="79"/>
      <c r="Z39" s="85"/>
      <c r="AA39" s="51">
        <v>200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6275000</v>
      </c>
      <c r="D40" s="104">
        <f t="shared" si="1"/>
        <v>12550</v>
      </c>
      <c r="E40" s="105">
        <f t="shared" si="2"/>
        <v>34.38356164383562</v>
      </c>
      <c r="F40" s="106">
        <f>C40-H40</f>
        <v>627500</v>
      </c>
      <c r="G40" s="110">
        <f t="shared" si="3"/>
        <v>0.9</v>
      </c>
      <c r="H40" s="103">
        <f>E64</f>
        <v>5647500</v>
      </c>
      <c r="I40" s="104">
        <f t="shared" si="4"/>
        <v>11295</v>
      </c>
      <c r="J40" s="109">
        <f t="shared" si="5"/>
        <v>30.945205479452056</v>
      </c>
      <c r="K40" s="7"/>
      <c r="L40" s="7"/>
      <c r="R40" s="79"/>
      <c r="W40" s="25" t="s">
        <v>113</v>
      </c>
      <c r="X40" s="26"/>
      <c r="Y40" s="79"/>
      <c r="Z40" s="85"/>
      <c r="AA40" s="41">
        <v>1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1195000</v>
      </c>
      <c r="D41" s="104">
        <f t="shared" si="1"/>
        <v>2390</v>
      </c>
      <c r="E41" s="105">
        <f t="shared" si="2"/>
        <v>6.5479452054794525</v>
      </c>
      <c r="F41" s="106">
        <f>C41-H41</f>
        <v>377500</v>
      </c>
      <c r="G41" s="110">
        <f t="shared" si="3"/>
        <v>0.6841004184100419</v>
      </c>
      <c r="H41" s="103">
        <f>E72</f>
        <v>817500</v>
      </c>
      <c r="I41" s="104">
        <f t="shared" si="4"/>
        <v>1635</v>
      </c>
      <c r="J41" s="109">
        <f t="shared" si="5"/>
        <v>4.47945205479452</v>
      </c>
      <c r="K41" s="7"/>
      <c r="L41" s="7"/>
      <c r="R41" s="79"/>
      <c r="W41" s="25" t="s">
        <v>157</v>
      </c>
      <c r="X41" s="26"/>
      <c r="Y41" s="79"/>
      <c r="Z41" s="85"/>
      <c r="AA41" s="51">
        <v>30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2800000</v>
      </c>
      <c r="D42" s="104">
        <f t="shared" si="1"/>
        <v>5600</v>
      </c>
      <c r="E42" s="105">
        <f t="shared" si="2"/>
        <v>15.342465753424657</v>
      </c>
      <c r="F42" s="106">
        <f>C78-E78</f>
        <v>1725000</v>
      </c>
      <c r="G42" s="110">
        <f t="shared" si="3"/>
        <v>0.38392857142857145</v>
      </c>
      <c r="H42" s="103">
        <f>E78</f>
        <v>1075000</v>
      </c>
      <c r="I42" s="104">
        <f t="shared" si="4"/>
        <v>2150</v>
      </c>
      <c r="J42" s="109">
        <f t="shared" si="5"/>
        <v>5.890410958904109</v>
      </c>
      <c r="K42" s="7"/>
      <c r="L42" s="7"/>
      <c r="R42" s="79"/>
      <c r="W42" s="25" t="s">
        <v>159</v>
      </c>
      <c r="X42" s="26"/>
      <c r="Y42" s="79"/>
      <c r="Z42" s="85"/>
      <c r="AA42" s="41" t="s">
        <v>54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761000.085106383</v>
      </c>
      <c r="D43" s="104">
        <f t="shared" si="1"/>
        <v>1522.0001702127659</v>
      </c>
      <c r="E43" s="105">
        <f t="shared" si="2"/>
        <v>4.169863480034975</v>
      </c>
      <c r="F43" s="106">
        <f>C43-H43</f>
        <v>320975.02127659565</v>
      </c>
      <c r="G43" s="110">
        <f t="shared" si="3"/>
        <v>0.5782194673056766</v>
      </c>
      <c r="H43" s="103">
        <f>E85</f>
        <v>440025.0638297873</v>
      </c>
      <c r="I43" s="104">
        <f t="shared" si="4"/>
        <v>880.0501276595746</v>
      </c>
      <c r="J43" s="109">
        <f t="shared" si="5"/>
        <v>2.4110962401632183</v>
      </c>
      <c r="K43" s="7"/>
      <c r="L43" s="7"/>
      <c r="R43" s="79"/>
      <c r="W43" s="25" t="s">
        <v>161</v>
      </c>
      <c r="X43" s="26"/>
      <c r="Y43" s="79"/>
      <c r="Z43" s="85"/>
      <c r="AA43" s="41" t="s">
        <v>61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150000</v>
      </c>
      <c r="D44" s="104">
        <f t="shared" si="1"/>
        <v>300</v>
      </c>
      <c r="E44" s="105">
        <f t="shared" si="2"/>
        <v>0.821917808219178</v>
      </c>
      <c r="F44" s="106">
        <f>C44-H44</f>
        <v>22500</v>
      </c>
      <c r="G44" s="110">
        <f t="shared" si="3"/>
        <v>0.85</v>
      </c>
      <c r="H44" s="103">
        <f>E90</f>
        <v>127500</v>
      </c>
      <c r="I44" s="104">
        <f t="shared" si="4"/>
        <v>255</v>
      </c>
      <c r="J44" s="109">
        <f t="shared" si="5"/>
        <v>0.6986301369863014</v>
      </c>
      <c r="K44" s="7"/>
      <c r="L44" s="7"/>
      <c r="R44" s="79"/>
      <c r="W44" s="25" t="s">
        <v>163</v>
      </c>
      <c r="X44" s="26"/>
      <c r="Y44" s="79"/>
      <c r="Z44" s="85"/>
      <c r="AA44" s="44" t="s">
        <v>164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680625</v>
      </c>
      <c r="D45" s="113">
        <f t="shared" si="1"/>
        <v>1361.25</v>
      </c>
      <c r="E45" s="114">
        <f t="shared" si="2"/>
        <v>3.7294520547945207</v>
      </c>
      <c r="F45" s="112">
        <f>C45-H45</f>
        <v>0</v>
      </c>
      <c r="G45" s="115">
        <f t="shared" si="3"/>
        <v>1</v>
      </c>
      <c r="H45" s="116">
        <f>E92</f>
        <v>680625</v>
      </c>
      <c r="I45" s="113">
        <f t="shared" si="4"/>
        <v>1361.25</v>
      </c>
      <c r="J45" s="117">
        <f t="shared" si="5"/>
        <v>3.7294520547945207</v>
      </c>
      <c r="K45" s="7"/>
      <c r="L45" s="7"/>
      <c r="R45" s="79"/>
      <c r="W45" s="25" t="s">
        <v>166</v>
      </c>
      <c r="X45" s="26"/>
      <c r="Y45" s="79"/>
      <c r="Z45" s="85"/>
      <c r="AA45" s="44" t="s">
        <v>167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26099085.085106384</v>
      </c>
      <c r="D46" s="119">
        <f>SUM(D38:D45)</f>
        <v>52198.17017021276</v>
      </c>
      <c r="E46" s="120">
        <f>SUM(E38:E45)</f>
        <v>143.00868539784315</v>
      </c>
      <c r="F46" s="119">
        <f>SUM(F38:F45)</f>
        <v>4632830.168645381</v>
      </c>
      <c r="G46" s="121">
        <f>H46/C46</f>
        <v>0.8224907059562353</v>
      </c>
      <c r="H46" s="118">
        <f>SUM(H38:H45)</f>
        <v>21466254.916461002</v>
      </c>
      <c r="I46" s="118">
        <f>SUM(I38:I45)</f>
        <v>42932.509832922005</v>
      </c>
      <c r="J46" s="122">
        <f>SUM(J38:J45)</f>
        <v>117.62331461074521</v>
      </c>
      <c r="K46" s="7"/>
      <c r="L46" s="7"/>
      <c r="R46" s="79"/>
      <c r="W46" s="25" t="s">
        <v>169</v>
      </c>
      <c r="X46" s="26"/>
      <c r="Y46" s="79"/>
      <c r="Z46" s="85"/>
      <c r="AA46" s="44" t="s">
        <v>59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R47" s="79"/>
      <c r="W47" s="25" t="s">
        <v>170</v>
      </c>
      <c r="X47" s="7"/>
      <c r="Y47" s="7"/>
      <c r="Z47" s="85"/>
      <c r="AA47" s="44" t="s">
        <v>59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27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R48" s="79"/>
      <c r="W48" s="25" t="s">
        <v>66</v>
      </c>
      <c r="X48" s="26"/>
      <c r="Y48" s="79"/>
      <c r="Z48" s="85"/>
      <c r="AA48" s="126" t="s">
        <v>67</v>
      </c>
    </row>
    <row r="49" spans="1:27" ht="12.75" customHeight="1" thickBot="1">
      <c r="A49" s="1">
        <f t="shared" si="0"/>
        <v>49</v>
      </c>
      <c r="B49" s="67" t="s">
        <v>174</v>
      </c>
      <c r="C49" s="247">
        <v>10944960</v>
      </c>
      <c r="D49" s="267">
        <v>0.887115165336374</v>
      </c>
      <c r="E49" s="141">
        <f aca="true" t="shared" si="6" ref="E49:E57">C49*D49</f>
        <v>9709440</v>
      </c>
      <c r="F49" s="240">
        <v>144</v>
      </c>
      <c r="G49" s="241">
        <f>C49/F49</f>
        <v>76006.66666666667</v>
      </c>
      <c r="H49" s="25" t="s">
        <v>175</v>
      </c>
      <c r="I49" s="81"/>
      <c r="J49" s="129">
        <v>1875000</v>
      </c>
      <c r="K49" s="7"/>
      <c r="L49" s="7"/>
      <c r="M49" s="7"/>
      <c r="N49" s="7"/>
      <c r="O49" s="7"/>
      <c r="P49" s="7"/>
      <c r="Q49" s="130"/>
      <c r="R49" s="130"/>
      <c r="W49" s="25" t="s">
        <v>176</v>
      </c>
      <c r="X49" s="26"/>
      <c r="Y49" s="79"/>
      <c r="Z49" s="85"/>
      <c r="AA49" s="131" t="s">
        <v>73</v>
      </c>
    </row>
    <row r="50" spans="1:27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>
        <v>0</v>
      </c>
      <c r="K50" s="7"/>
      <c r="L50" s="9"/>
      <c r="M50" s="132"/>
      <c r="N50" s="133"/>
      <c r="O50" s="132"/>
      <c r="P50" s="134"/>
      <c r="Q50" s="133"/>
      <c r="R50" s="133"/>
      <c r="W50" s="67" t="s">
        <v>179</v>
      </c>
      <c r="X50" s="68"/>
      <c r="Y50" s="135"/>
      <c r="Z50" s="136"/>
      <c r="AA50" s="137" t="s">
        <v>59</v>
      </c>
    </row>
    <row r="51" spans="1:26" ht="12.75" customHeight="1" thickBot="1">
      <c r="A51" s="1">
        <f t="shared" si="0"/>
        <v>51</v>
      </c>
      <c r="B51" s="138" t="s">
        <v>180</v>
      </c>
      <c r="C51" s="175">
        <v>2392500</v>
      </c>
      <c r="D51" s="268">
        <v>0.9151515151515152</v>
      </c>
      <c r="E51" s="141">
        <f t="shared" si="6"/>
        <v>2189500</v>
      </c>
      <c r="F51" s="240">
        <v>24</v>
      </c>
      <c r="G51" s="241">
        <f>C51/F51</f>
        <v>99687.5</v>
      </c>
      <c r="H51" s="25" t="s">
        <v>181</v>
      </c>
      <c r="I51" s="85"/>
      <c r="J51" s="129">
        <v>0</v>
      </c>
      <c r="K51" s="7"/>
      <c r="L51" s="9"/>
      <c r="M51" s="132"/>
      <c r="N51" s="133"/>
      <c r="O51" s="132"/>
      <c r="P51" s="134"/>
      <c r="Q51" s="133"/>
      <c r="R51" s="133"/>
      <c r="W51" s="15" t="s">
        <v>182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150000</v>
      </c>
      <c r="D52" s="269">
        <v>0.887115165336374</v>
      </c>
      <c r="E52" s="141">
        <f t="shared" si="6"/>
        <v>133067.2748004561</v>
      </c>
      <c r="F52" s="7"/>
      <c r="H52" s="25" t="s">
        <v>184</v>
      </c>
      <c r="I52" s="85"/>
      <c r="J52" s="129">
        <v>0</v>
      </c>
      <c r="K52" s="7"/>
      <c r="L52" s="9"/>
      <c r="M52" s="132"/>
      <c r="N52" s="133"/>
      <c r="O52" s="132"/>
      <c r="P52" s="134"/>
      <c r="Q52" s="133"/>
      <c r="R52" s="133"/>
      <c r="W52" s="25" t="s">
        <v>185</v>
      </c>
      <c r="X52" s="26"/>
      <c r="Y52" s="33"/>
      <c r="Z52" s="34" t="s">
        <v>49</v>
      </c>
    </row>
    <row r="53" spans="1:26" ht="12.75" customHeight="1">
      <c r="A53" s="1">
        <f t="shared" si="0"/>
        <v>53</v>
      </c>
      <c r="B53" s="25" t="s">
        <v>186</v>
      </c>
      <c r="C53" s="140">
        <v>200000</v>
      </c>
      <c r="D53" s="269">
        <v>0.75</v>
      </c>
      <c r="E53" s="141">
        <f t="shared" si="6"/>
        <v>150000</v>
      </c>
      <c r="F53" s="7"/>
      <c r="H53" s="25" t="s">
        <v>187</v>
      </c>
      <c r="I53" s="85"/>
      <c r="J53" s="129">
        <v>0</v>
      </c>
      <c r="K53" s="7"/>
      <c r="L53" s="9"/>
      <c r="M53" s="132"/>
      <c r="N53" s="133"/>
      <c r="O53" s="132"/>
      <c r="P53" s="134"/>
      <c r="Q53" s="133"/>
      <c r="R53" s="133"/>
      <c r="W53" s="25" t="s">
        <v>188</v>
      </c>
      <c r="X53" s="26"/>
      <c r="Y53" s="33"/>
      <c r="Z53" s="142">
        <v>1</v>
      </c>
    </row>
    <row r="54" spans="1:26" ht="12.75" customHeight="1">
      <c r="A54" s="1">
        <f t="shared" si="0"/>
        <v>54</v>
      </c>
      <c r="B54" s="25" t="s">
        <v>189</v>
      </c>
      <c r="C54" s="140">
        <v>150000</v>
      </c>
      <c r="D54" s="269">
        <v>0.887115165336374</v>
      </c>
      <c r="E54" s="141">
        <f t="shared" si="6"/>
        <v>133067.2748004561</v>
      </c>
      <c r="F54" s="7"/>
      <c r="H54" s="25" t="s">
        <v>190</v>
      </c>
      <c r="I54" s="85"/>
      <c r="J54" s="129">
        <v>0</v>
      </c>
      <c r="K54" s="7"/>
      <c r="L54" s="9"/>
      <c r="M54" s="132"/>
      <c r="N54" s="133"/>
      <c r="O54" s="132"/>
      <c r="P54" s="134"/>
      <c r="Q54" s="133"/>
      <c r="R54" s="133"/>
      <c r="W54" s="25" t="s">
        <v>191</v>
      </c>
      <c r="X54" s="26"/>
      <c r="Y54" s="33"/>
      <c r="Z54" s="51">
        <v>20</v>
      </c>
    </row>
    <row r="55" spans="1:26" ht="12.75" customHeight="1">
      <c r="A55" s="1">
        <f t="shared" si="0"/>
        <v>55</v>
      </c>
      <c r="B55" s="25" t="s">
        <v>192</v>
      </c>
      <c r="C55" s="140">
        <v>50000</v>
      </c>
      <c r="D55" s="269">
        <v>0.9151515151515152</v>
      </c>
      <c r="E55" s="141">
        <f t="shared" si="6"/>
        <v>45757.57575757576</v>
      </c>
      <c r="F55" s="7"/>
      <c r="H55" s="25" t="s">
        <v>193</v>
      </c>
      <c r="I55" s="85"/>
      <c r="J55" s="129">
        <v>0</v>
      </c>
      <c r="K55" s="7"/>
      <c r="L55" s="9"/>
      <c r="M55" s="132"/>
      <c r="N55" s="133"/>
      <c r="O55" s="132"/>
      <c r="P55" s="134"/>
      <c r="Q55" s="133"/>
      <c r="R55" s="133"/>
      <c r="W55" s="25" t="s">
        <v>194</v>
      </c>
      <c r="X55" s="26"/>
      <c r="Y55" s="33"/>
      <c r="Z55" s="34" t="s">
        <v>49</v>
      </c>
    </row>
    <row r="56" spans="1:26" ht="12.75" customHeight="1" thickBot="1">
      <c r="A56" s="1">
        <f t="shared" si="0"/>
        <v>56</v>
      </c>
      <c r="B56" s="25" t="s">
        <v>195</v>
      </c>
      <c r="C56" s="140">
        <v>150000</v>
      </c>
      <c r="D56" s="269">
        <v>0.9151515151515152</v>
      </c>
      <c r="E56" s="141">
        <f t="shared" si="6"/>
        <v>137272.72727272726</v>
      </c>
      <c r="F56" s="7"/>
      <c r="H56" s="25" t="s">
        <v>196</v>
      </c>
      <c r="I56" s="85"/>
      <c r="J56" s="129">
        <v>0</v>
      </c>
      <c r="K56" s="7"/>
      <c r="L56" s="9"/>
      <c r="M56" s="132"/>
      <c r="N56" s="133"/>
      <c r="O56" s="132"/>
      <c r="P56" s="134"/>
      <c r="Q56" s="133"/>
      <c r="R56" s="133"/>
      <c r="W56" s="67" t="s">
        <v>197</v>
      </c>
      <c r="X56" s="68"/>
      <c r="Y56" s="69"/>
      <c r="Z56" s="143">
        <v>1</v>
      </c>
    </row>
    <row r="57" spans="1:18" ht="12.75" customHeight="1">
      <c r="A57" s="1">
        <f t="shared" si="0"/>
        <v>57</v>
      </c>
      <c r="B57" s="144" t="s">
        <v>198</v>
      </c>
      <c r="C57" s="145">
        <v>200000</v>
      </c>
      <c r="D57" s="270">
        <v>0.9</v>
      </c>
      <c r="E57" s="146">
        <f t="shared" si="6"/>
        <v>180000</v>
      </c>
      <c r="F57" s="7"/>
      <c r="H57" s="25" t="s">
        <v>199</v>
      </c>
      <c r="I57" s="85"/>
      <c r="J57" s="129">
        <v>0</v>
      </c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3292500</v>
      </c>
      <c r="D58" s="271">
        <f>E58/C58</f>
        <v>0.9016446021658967</v>
      </c>
      <c r="E58" s="141">
        <f>SUM(E51:E57)</f>
        <v>2968664.852631215</v>
      </c>
      <c r="F58" s="7"/>
      <c r="H58" s="149" t="s">
        <v>200</v>
      </c>
      <c r="I58" s="33"/>
      <c r="J58" s="129">
        <v>0</v>
      </c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>
        <v>0</v>
      </c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4000000</v>
      </c>
      <c r="D60" s="269">
        <v>0.9</v>
      </c>
      <c r="E60" s="141">
        <f>C60*D60</f>
        <v>3600000</v>
      </c>
      <c r="F60" s="7"/>
      <c r="H60" s="153" t="s">
        <v>204</v>
      </c>
      <c r="I60" s="154"/>
      <c r="J60" s="155">
        <f>SUM(J49:J59)</f>
        <v>1875000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2000000</v>
      </c>
      <c r="D61" s="269">
        <v>0.9</v>
      </c>
      <c r="E61" s="141">
        <f>C61*D61</f>
        <v>1800000</v>
      </c>
      <c r="F61" s="7"/>
      <c r="H61" s="25" t="s">
        <v>106</v>
      </c>
      <c r="I61" s="26"/>
      <c r="J61" s="157">
        <f>C22</f>
        <v>39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125000</v>
      </c>
      <c r="D62" s="269">
        <v>0.9</v>
      </c>
      <c r="E62" s="141">
        <f>C62*D62</f>
        <v>112500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150000</v>
      </c>
      <c r="D63" s="270">
        <v>0.9</v>
      </c>
      <c r="E63" s="146">
        <f>C63*D63</f>
        <v>135000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6275000</v>
      </c>
      <c r="D64" s="271">
        <f>E64/C64</f>
        <v>0.9</v>
      </c>
      <c r="E64" s="141">
        <f>SUM(E60:E63)</f>
        <v>5647500</v>
      </c>
      <c r="F64" s="7"/>
      <c r="H64" s="161" t="s">
        <v>210</v>
      </c>
      <c r="I64" s="162"/>
      <c r="J64" s="163">
        <f>J60*J63</f>
        <v>680625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300000</v>
      </c>
      <c r="D66" s="269">
        <v>0.9</v>
      </c>
      <c r="E66" s="141">
        <f aca="true" t="shared" si="8" ref="E66:E71">C66*D66</f>
        <v>270000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50000</v>
      </c>
      <c r="D67" s="269">
        <v>0.9</v>
      </c>
      <c r="E67" s="141">
        <f t="shared" si="8"/>
        <v>45000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20000</v>
      </c>
      <c r="D68" s="269">
        <v>0.5</v>
      </c>
      <c r="E68" s="141">
        <f t="shared" si="8"/>
        <v>10000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125000</v>
      </c>
      <c r="D69" s="269">
        <v>0.5</v>
      </c>
      <c r="E69" s="141">
        <f t="shared" si="8"/>
        <v>62500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500000</v>
      </c>
      <c r="D70" s="269">
        <v>0.5</v>
      </c>
      <c r="E70" s="141">
        <f t="shared" si="8"/>
        <v>250000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200000</v>
      </c>
      <c r="D71" s="270">
        <v>0.9</v>
      </c>
      <c r="E71" s="146">
        <f t="shared" si="8"/>
        <v>180000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1195000</v>
      </c>
      <c r="D72" s="271">
        <f>E72/C72</f>
        <v>0.6841004184100419</v>
      </c>
      <c r="E72" s="141">
        <f>SUM(E66:E71)</f>
        <v>817500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1500000</v>
      </c>
      <c r="D74" s="269">
        <v>0.6</v>
      </c>
      <c r="E74" s="141">
        <f>C74*D74</f>
        <v>900000</v>
      </c>
      <c r="F74" s="7"/>
      <c r="H74" s="25" t="s">
        <v>230</v>
      </c>
      <c r="I74" s="26"/>
      <c r="J74" s="28">
        <v>0.5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200000</v>
      </c>
      <c r="D75" s="269">
        <v>0.75</v>
      </c>
      <c r="E75" s="141">
        <f>C75*D75</f>
        <v>150000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36347.51773049645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1000000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436170.21276595746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2800000</v>
      </c>
      <c r="D78" s="271">
        <f>E78/C78</f>
        <v>0.38392857142857145</v>
      </c>
      <c r="E78" s="179">
        <f>SUM(E74:E77)</f>
        <v>1075000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2500000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30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8321429.787234043</v>
      </c>
      <c r="D81" s="269">
        <v>0.75</v>
      </c>
      <c r="E81" s="141">
        <f>C81*D81</f>
        <v>6241072.340425532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205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10871429.787234042</v>
      </c>
      <c r="D83" s="271">
        <f>E83/C83</f>
        <v>0.5782194673056765</v>
      </c>
      <c r="E83" s="186">
        <f>SUM(E80:E82)</f>
        <v>6286072.340425532</v>
      </c>
      <c r="F83" s="7"/>
      <c r="H83" s="25" t="s">
        <v>245</v>
      </c>
      <c r="I83" s="26"/>
      <c r="J83" s="177">
        <f>J82*J80*24</f>
        <v>147600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761000.085106383</v>
      </c>
      <c r="D85" s="273">
        <f>E85/C85</f>
        <v>0.5782194673056766</v>
      </c>
      <c r="E85" s="194">
        <f>$C$84*E83</f>
        <v>440025.0638297873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50000</v>
      </c>
      <c r="D87" s="269">
        <v>0.9</v>
      </c>
      <c r="E87" s="141">
        <f>C87*D87</f>
        <v>45000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50000</v>
      </c>
      <c r="D88" s="269">
        <v>0.75</v>
      </c>
      <c r="E88" s="141">
        <f>C88*D88</f>
        <v>37500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50000</v>
      </c>
      <c r="D89" s="269">
        <v>0.9</v>
      </c>
      <c r="E89" s="146">
        <f>C89*D89</f>
        <v>45000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150000</v>
      </c>
      <c r="D90" s="272">
        <f>E90/C90</f>
        <v>0.85</v>
      </c>
      <c r="E90" s="139">
        <f>SUM(E87:E89)</f>
        <v>127500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680625</v>
      </c>
      <c r="D92" s="267">
        <v>1</v>
      </c>
      <c r="E92" s="128">
        <f>C92*D92</f>
        <v>680625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Z55 Z52 I16 AA38">
      <formula1>$X$12:$AF$12</formula1>
    </dataValidation>
    <dataValidation type="list" allowBlank="1" showInputMessage="1" showErrorMessage="1" sqref="AA48 I26">
      <formula1>$X$15:$AD$15</formula1>
    </dataValidation>
    <dataValidation type="list" allowBlank="1" showInputMessage="1" showErrorMessage="1" sqref="AA31">
      <formula1>$X$7:$AA$7</formula1>
    </dataValidation>
    <dataValidation type="list" allowBlank="1" showInputMessage="1" showErrorMessage="1" sqref="AA32">
      <formula1>$X$8:$AA$8</formula1>
    </dataValidation>
    <dataValidation type="list" allowBlank="1" showInputMessage="1" showErrorMessage="1" sqref="AA33">
      <formula1>$X$10:$Z$10</formula1>
    </dataValidation>
    <dataValidation type="list" allowBlank="1" showInputMessage="1" showErrorMessage="1" sqref="AA34">
      <formula1>$X$11:$AF$11</formula1>
    </dataValidation>
    <dataValidation type="list" allowBlank="1" showInputMessage="1" showErrorMessage="1" sqref="AA42">
      <formula1>$X$13:$AC$13</formula1>
    </dataValidation>
    <dataValidation type="list" allowBlank="1" showInputMessage="1" showErrorMessage="1" sqref="AA43">
      <formula1>$X$14:$AD$14</formula1>
    </dataValidation>
    <dataValidation type="list" allowBlank="1" showInputMessage="1" showErrorMessage="1" sqref="AA49">
      <formula1>$X$16:$AE$16</formula1>
    </dataValidation>
    <dataValidation type="list" allowBlank="1" showInputMessage="1" showErrorMessage="1" sqref="I7">
      <formula1>$X$7:$AF$7</formula1>
    </dataValidation>
    <dataValidation type="list" allowBlank="1" showInputMessage="1" showErrorMessage="1" sqref="I8">
      <formula1>$X$9:$AB$9</formula1>
    </dataValidation>
    <dataValidation type="list" allowBlank="1" showInputMessage="1" showErrorMessage="1" sqref="I9">
      <formula1>$X$17:$AC$17</formula1>
    </dataValidation>
    <dataValidation type="list" allowBlank="1" showInputMessage="1" showErrorMessage="1" sqref="I10">
      <formula1>$X$18:$AD$18</formula1>
    </dataValidation>
    <dataValidation type="list" allowBlank="1" showInputMessage="1" showErrorMessage="1" sqref="I19:I20">
      <formula1>$X$19:$AE$19</formula1>
    </dataValidation>
    <dataValidation type="list" allowBlank="1" showInputMessage="1" showErrorMessage="1" sqref="I21:I23">
      <formula1>$X$20:$AD$20</formula1>
    </dataValidation>
    <dataValidation type="list" allowBlank="1" showInputMessage="1" showErrorMessage="1" sqref="I24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2" r:id="rId1"/>
  <headerFooter alignWithMargins="0"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7.140625" style="3" customWidth="1"/>
    <col min="8" max="8" width="16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3.8515625" style="3" customWidth="1"/>
    <col min="14" max="14" width="23.7109375" style="3" customWidth="1"/>
    <col min="15" max="15" width="12.57421875" style="3" customWidth="1"/>
    <col min="16" max="16" width="10.28125" style="3" customWidth="1"/>
    <col min="17" max="17" width="17.00390625" style="3" bestFit="1" customWidth="1"/>
    <col min="18" max="18" width="12.2812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1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259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5</v>
      </c>
      <c r="D6" s="11"/>
      <c r="F6" s="15" t="s">
        <v>5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8</v>
      </c>
      <c r="G7" s="26"/>
      <c r="H7" s="27"/>
      <c r="I7" s="28" t="s">
        <v>16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20</v>
      </c>
      <c r="G8" s="26"/>
      <c r="H8" s="33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24</v>
      </c>
      <c r="G9" s="26"/>
      <c r="H9" s="33"/>
      <c r="I9" s="34" t="s">
        <v>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28</v>
      </c>
      <c r="G10" s="26"/>
      <c r="H10" s="33"/>
      <c r="I10" s="39" t="s">
        <v>86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F11" s="25" t="s">
        <v>35</v>
      </c>
      <c r="G11" s="26"/>
      <c r="H11" s="33"/>
      <c r="I11" s="41">
        <v>4000000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F12" s="25" t="s">
        <v>45</v>
      </c>
      <c r="G12" s="26"/>
      <c r="H12" s="33"/>
      <c r="I12" s="41">
        <v>1</v>
      </c>
      <c r="J12" s="7"/>
      <c r="K12" s="207" t="s">
        <v>319</v>
      </c>
      <c r="L12" s="26"/>
      <c r="M12" s="26"/>
      <c r="N12" s="245">
        <v>0</v>
      </c>
      <c r="O12" s="7"/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F13" s="25" t="s">
        <v>51</v>
      </c>
      <c r="G13" s="26"/>
      <c r="H13" s="33"/>
      <c r="I13" s="44" t="s">
        <v>260</v>
      </c>
      <c r="J13" s="7"/>
      <c r="K13" s="207" t="s">
        <v>320</v>
      </c>
      <c r="L13" s="26"/>
      <c r="M13" s="26"/>
      <c r="N13" s="245">
        <v>0</v>
      </c>
      <c r="O13" s="7"/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F14" s="25" t="s">
        <v>58</v>
      </c>
      <c r="G14" s="26"/>
      <c r="H14" s="33"/>
      <c r="I14" s="44" t="s">
        <v>261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F15" s="25" t="s">
        <v>65</v>
      </c>
      <c r="G15" s="26"/>
      <c r="H15" s="33"/>
      <c r="I15" s="47">
        <f>C23*C26/1000</f>
        <v>5910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F16" s="25" t="s">
        <v>46</v>
      </c>
      <c r="G16" s="26"/>
      <c r="H16" s="33"/>
      <c r="I16" s="44" t="s">
        <v>37</v>
      </c>
      <c r="J16" s="7"/>
      <c r="K16" s="285" t="s">
        <v>340</v>
      </c>
      <c r="L16" s="286"/>
      <c r="M16" s="286"/>
      <c r="N16" s="287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F17" s="25" t="s">
        <v>80</v>
      </c>
      <c r="G17" s="26"/>
      <c r="H17" s="33"/>
      <c r="I17" s="51">
        <v>630</v>
      </c>
      <c r="J17" s="7"/>
      <c r="K17" s="279" t="s">
        <v>336</v>
      </c>
      <c r="L17" s="280"/>
      <c r="M17" s="280"/>
      <c r="N17" s="281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F18" s="25" t="s">
        <v>85</v>
      </c>
      <c r="G18" s="26"/>
      <c r="H18" s="33"/>
      <c r="I18" s="53">
        <f>I11/I17/1000</f>
        <v>6.349206349206349</v>
      </c>
      <c r="J18" s="7"/>
      <c r="K18" s="279" t="s">
        <v>337</v>
      </c>
      <c r="L18" s="280"/>
      <c r="M18" s="280"/>
      <c r="N18" s="281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29</v>
      </c>
      <c r="AB18" s="37" t="s">
        <v>44</v>
      </c>
      <c r="AC18" s="37" t="s">
        <v>22</v>
      </c>
      <c r="AD18" s="37" t="s">
        <v>33</v>
      </c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F19" s="25" t="s">
        <v>90</v>
      </c>
      <c r="G19" s="26"/>
      <c r="H19" s="33"/>
      <c r="I19" s="51" t="s">
        <v>93</v>
      </c>
      <c r="J19" s="7"/>
      <c r="K19" s="279" t="s">
        <v>334</v>
      </c>
      <c r="L19" s="280"/>
      <c r="M19" s="280"/>
      <c r="N19" s="281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1968</v>
      </c>
      <c r="D20" s="7"/>
      <c r="F20" s="25" t="s">
        <v>96</v>
      </c>
      <c r="H20" s="56"/>
      <c r="I20" s="51" t="s">
        <v>91</v>
      </c>
      <c r="J20" s="7"/>
      <c r="K20" s="279" t="s">
        <v>341</v>
      </c>
      <c r="L20" s="280"/>
      <c r="M20" s="280"/>
      <c r="N20" s="281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F21" s="25" t="s">
        <v>103</v>
      </c>
      <c r="G21" s="26"/>
      <c r="H21" s="33"/>
      <c r="I21" s="51" t="s">
        <v>98</v>
      </c>
      <c r="J21" s="7"/>
      <c r="K21" s="279" t="s">
        <v>335</v>
      </c>
      <c r="L21" s="280"/>
      <c r="M21" s="280"/>
      <c r="N21" s="28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39</v>
      </c>
      <c r="D22" s="7"/>
      <c r="F22" s="25" t="s">
        <v>107</v>
      </c>
      <c r="H22" s="56"/>
      <c r="I22" s="51" t="s">
        <v>101</v>
      </c>
      <c r="J22" s="7"/>
      <c r="K22" s="279" t="s">
        <v>339</v>
      </c>
      <c r="L22" s="280"/>
      <c r="M22" s="280"/>
      <c r="N22" s="28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9850</v>
      </c>
      <c r="D23" s="7"/>
      <c r="F23" s="25" t="s">
        <v>109</v>
      </c>
      <c r="H23" s="56"/>
      <c r="I23" s="51" t="s">
        <v>100</v>
      </c>
      <c r="J23" s="7"/>
      <c r="K23" s="282" t="s">
        <v>338</v>
      </c>
      <c r="L23" s="283"/>
      <c r="M23" s="283"/>
      <c r="N23" s="284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400</v>
      </c>
      <c r="D24" s="7"/>
      <c r="F24" s="25" t="s">
        <v>104</v>
      </c>
      <c r="G24" s="26"/>
      <c r="H24" s="33"/>
      <c r="I24" s="51" t="s">
        <v>99</v>
      </c>
      <c r="J24" s="7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666.6666666666666</v>
      </c>
      <c r="D25" s="7"/>
      <c r="F25" s="25" t="s">
        <v>113</v>
      </c>
      <c r="G25" s="26"/>
      <c r="H25" s="33"/>
      <c r="I25" s="41">
        <v>1</v>
      </c>
      <c r="J25" s="7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600</v>
      </c>
      <c r="D26" s="7"/>
      <c r="F26" s="67" t="s">
        <v>116</v>
      </c>
      <c r="G26" s="68"/>
      <c r="H26" s="69"/>
      <c r="I26" s="70" t="s">
        <v>69</v>
      </c>
      <c r="J26" s="7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600</v>
      </c>
      <c r="D28" s="7"/>
      <c r="J28" s="7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 thickBot="1">
      <c r="A29" s="1">
        <f t="shared" si="0"/>
        <v>29</v>
      </c>
      <c r="B29" s="49" t="s">
        <v>121</v>
      </c>
      <c r="C29" s="75">
        <f>B34</f>
        <v>133.2856247211202</v>
      </c>
      <c r="D29" s="7"/>
      <c r="E29" s="76"/>
      <c r="J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133.2856247211202</v>
      </c>
      <c r="D30" s="7"/>
      <c r="J30" s="7"/>
      <c r="W30" s="15" t="s">
        <v>123</v>
      </c>
      <c r="X30" s="16"/>
      <c r="Y30" s="17"/>
      <c r="Z30" s="16"/>
      <c r="AA30" s="1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W31" s="25" t="s">
        <v>124</v>
      </c>
      <c r="X31" s="26"/>
      <c r="Y31" s="79"/>
      <c r="Z31" s="81"/>
      <c r="AA31" s="28" t="s">
        <v>11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W32" s="25" t="s">
        <v>126</v>
      </c>
      <c r="X32" s="26"/>
      <c r="Y32" s="79"/>
      <c r="Z32" s="85"/>
      <c r="AA32" s="34" t="s">
        <v>22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W33" s="25" t="s">
        <v>137</v>
      </c>
      <c r="X33" s="26"/>
      <c r="Y33" s="79"/>
      <c r="Z33" s="85"/>
      <c r="AA33" s="34" t="s">
        <v>31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133.2856247211202</v>
      </c>
      <c r="C34" s="91">
        <v>1.1</v>
      </c>
      <c r="D34" s="92">
        <f>J38</f>
        <v>52.11397260273972</v>
      </c>
      <c r="E34" s="92">
        <f>J39</f>
        <v>19.636550947288995</v>
      </c>
      <c r="F34" s="92">
        <f>J40</f>
        <v>32.97945205479452</v>
      </c>
      <c r="G34" s="92">
        <f>J41</f>
        <v>4.920091324200913</v>
      </c>
      <c r="H34" s="92">
        <f>J42</f>
        <v>5.593607305936073</v>
      </c>
      <c r="I34" s="92">
        <f>J43</f>
        <v>2.3291851005537745</v>
      </c>
      <c r="J34" s="92">
        <f>J44</f>
        <v>0.5821917808219178</v>
      </c>
      <c r="K34" s="93">
        <f>J45</f>
        <v>3.315068493150685</v>
      </c>
      <c r="W34" s="25" t="s">
        <v>138</v>
      </c>
      <c r="X34" s="26"/>
      <c r="Y34" s="79"/>
      <c r="Z34" s="85"/>
      <c r="AA34" s="34" t="s">
        <v>37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W35" s="25" t="s">
        <v>139</v>
      </c>
      <c r="X35" s="26"/>
      <c r="Y35" s="79"/>
      <c r="Z35" s="85"/>
      <c r="AA35" s="39" t="s">
        <v>140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R36" s="79"/>
      <c r="W36" s="25" t="s">
        <v>142</v>
      </c>
      <c r="X36" s="26"/>
      <c r="Y36" s="79"/>
      <c r="Z36" s="85"/>
      <c r="AA36" s="51">
        <v>171.7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R37" s="79"/>
      <c r="W37" s="25" t="s">
        <v>152</v>
      </c>
      <c r="X37" s="26"/>
      <c r="Y37" s="79"/>
      <c r="Z37" s="85"/>
      <c r="AA37" s="41">
        <v>2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12648480</v>
      </c>
      <c r="D38" s="104">
        <f aca="true" t="shared" si="1" ref="D38:D45">C38/$C$26</f>
        <v>21080.8</v>
      </c>
      <c r="E38" s="105">
        <f aca="true" t="shared" si="2" ref="E38:E45">C38/$C$26/365</f>
        <v>57.755616438356164</v>
      </c>
      <c r="F38" s="106">
        <f>C38-H38</f>
        <v>1235520</v>
      </c>
      <c r="G38" s="107">
        <f aca="true" t="shared" si="3" ref="G38:G45">IF(C38=0,0,H38/C38)</f>
        <v>0.9023186975826344</v>
      </c>
      <c r="H38" s="103">
        <f>E49</f>
        <v>11412960</v>
      </c>
      <c r="I38" s="108">
        <f aca="true" t="shared" si="4" ref="I38:I45">H38/$C$26</f>
        <v>19021.6</v>
      </c>
      <c r="J38" s="109">
        <f aca="true" t="shared" si="5" ref="J38:J45">H38/$C$26/365</f>
        <v>52.11397260273972</v>
      </c>
      <c r="K38" s="7"/>
      <c r="L38" s="7"/>
      <c r="R38" s="79"/>
      <c r="W38" s="25" t="s">
        <v>46</v>
      </c>
      <c r="X38" s="26"/>
      <c r="Y38" s="79"/>
      <c r="Z38" s="85"/>
      <c r="AA38" s="44" t="s">
        <v>37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4644500</v>
      </c>
      <c r="D39" s="104">
        <f t="shared" si="1"/>
        <v>7740.833333333333</v>
      </c>
      <c r="E39" s="105">
        <f t="shared" si="2"/>
        <v>21.207762557077626</v>
      </c>
      <c r="F39" s="106">
        <f>C39-H39</f>
        <v>344095.34254371</v>
      </c>
      <c r="G39" s="110">
        <f t="shared" si="3"/>
        <v>0.9259133722588632</v>
      </c>
      <c r="H39" s="103">
        <f>E58</f>
        <v>4300404.65745629</v>
      </c>
      <c r="I39" s="104">
        <f t="shared" si="4"/>
        <v>7167.341095760483</v>
      </c>
      <c r="J39" s="109">
        <f t="shared" si="5"/>
        <v>19.636550947288995</v>
      </c>
      <c r="K39" s="7"/>
      <c r="L39" s="7"/>
      <c r="R39" s="79"/>
      <c r="W39" s="25" t="s">
        <v>80</v>
      </c>
      <c r="X39" s="26"/>
      <c r="Y39" s="79"/>
      <c r="Z39" s="85"/>
      <c r="AA39" s="51">
        <v>200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8025000</v>
      </c>
      <c r="D40" s="104">
        <f t="shared" si="1"/>
        <v>13375</v>
      </c>
      <c r="E40" s="105">
        <f t="shared" si="2"/>
        <v>36.64383561643836</v>
      </c>
      <c r="F40" s="106">
        <f>C40-H40</f>
        <v>802500</v>
      </c>
      <c r="G40" s="110">
        <f t="shared" si="3"/>
        <v>0.9</v>
      </c>
      <c r="H40" s="103">
        <f>E64</f>
        <v>7222500</v>
      </c>
      <c r="I40" s="104">
        <f t="shared" si="4"/>
        <v>12037.5</v>
      </c>
      <c r="J40" s="109">
        <f t="shared" si="5"/>
        <v>32.97945205479452</v>
      </c>
      <c r="K40" s="7"/>
      <c r="L40" s="7"/>
      <c r="R40" s="79"/>
      <c r="W40" s="25" t="s">
        <v>113</v>
      </c>
      <c r="X40" s="26"/>
      <c r="Y40" s="79"/>
      <c r="Z40" s="85"/>
      <c r="AA40" s="41">
        <v>1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1595000</v>
      </c>
      <c r="D41" s="104">
        <f t="shared" si="1"/>
        <v>2658.3333333333335</v>
      </c>
      <c r="E41" s="105">
        <f t="shared" si="2"/>
        <v>7.283105022831051</v>
      </c>
      <c r="F41" s="106">
        <f>C41-H41</f>
        <v>517500</v>
      </c>
      <c r="G41" s="110">
        <f t="shared" si="3"/>
        <v>0.6755485893416928</v>
      </c>
      <c r="H41" s="103">
        <f>E72</f>
        <v>1077500</v>
      </c>
      <c r="I41" s="104">
        <f t="shared" si="4"/>
        <v>1795.8333333333333</v>
      </c>
      <c r="J41" s="109">
        <f t="shared" si="5"/>
        <v>4.920091324200913</v>
      </c>
      <c r="K41" s="7"/>
      <c r="L41" s="7"/>
      <c r="R41" s="79"/>
      <c r="W41" s="25" t="s">
        <v>157</v>
      </c>
      <c r="X41" s="26"/>
      <c r="Y41" s="79"/>
      <c r="Z41" s="85"/>
      <c r="AA41" s="51">
        <v>30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3250000</v>
      </c>
      <c r="D42" s="104">
        <f t="shared" si="1"/>
        <v>5416.666666666667</v>
      </c>
      <c r="E42" s="105">
        <f t="shared" si="2"/>
        <v>14.840182648401827</v>
      </c>
      <c r="F42" s="106">
        <f>C78-E78</f>
        <v>2025000</v>
      </c>
      <c r="G42" s="110">
        <f t="shared" si="3"/>
        <v>0.3769230769230769</v>
      </c>
      <c r="H42" s="103">
        <f>E78</f>
        <v>1225000</v>
      </c>
      <c r="I42" s="104">
        <f t="shared" si="4"/>
        <v>2041.6666666666667</v>
      </c>
      <c r="J42" s="109">
        <f t="shared" si="5"/>
        <v>5.593607305936073</v>
      </c>
      <c r="K42" s="7"/>
      <c r="L42" s="7"/>
      <c r="R42" s="79"/>
      <c r="W42" s="25" t="s">
        <v>159</v>
      </c>
      <c r="X42" s="26"/>
      <c r="Y42" s="79"/>
      <c r="Z42" s="85"/>
      <c r="AA42" s="41" t="s">
        <v>54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888722.0493617023</v>
      </c>
      <c r="D43" s="104">
        <f t="shared" si="1"/>
        <v>1481.2034156028371</v>
      </c>
      <c r="E43" s="105">
        <f t="shared" si="2"/>
        <v>4.058091549596814</v>
      </c>
      <c r="F43" s="106">
        <f>C43-H43</f>
        <v>378630.51234042563</v>
      </c>
      <c r="G43" s="110">
        <f t="shared" si="3"/>
        <v>0.5739607083988008</v>
      </c>
      <c r="H43" s="103">
        <f>E85</f>
        <v>510091.53702127666</v>
      </c>
      <c r="I43" s="104">
        <f t="shared" si="4"/>
        <v>850.1525617021277</v>
      </c>
      <c r="J43" s="109">
        <f t="shared" si="5"/>
        <v>2.3291851005537745</v>
      </c>
      <c r="K43" s="7"/>
      <c r="L43" s="7"/>
      <c r="R43" s="79"/>
      <c r="W43" s="25" t="s">
        <v>161</v>
      </c>
      <c r="X43" s="26"/>
      <c r="Y43" s="79"/>
      <c r="Z43" s="85"/>
      <c r="AA43" s="41" t="s">
        <v>61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150000</v>
      </c>
      <c r="D44" s="104">
        <f t="shared" si="1"/>
        <v>250</v>
      </c>
      <c r="E44" s="105">
        <f t="shared" si="2"/>
        <v>0.684931506849315</v>
      </c>
      <c r="F44" s="106">
        <f>C44-H44</f>
        <v>22500</v>
      </c>
      <c r="G44" s="110">
        <f t="shared" si="3"/>
        <v>0.85</v>
      </c>
      <c r="H44" s="103">
        <f>E90</f>
        <v>127500</v>
      </c>
      <c r="I44" s="104">
        <f t="shared" si="4"/>
        <v>212.5</v>
      </c>
      <c r="J44" s="109">
        <f t="shared" si="5"/>
        <v>0.5821917808219178</v>
      </c>
      <c r="K44" s="7"/>
      <c r="L44" s="7"/>
      <c r="R44" s="79"/>
      <c r="W44" s="25" t="s">
        <v>163</v>
      </c>
      <c r="X44" s="26"/>
      <c r="Y44" s="79"/>
      <c r="Z44" s="85"/>
      <c r="AA44" s="44" t="s">
        <v>164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726000</v>
      </c>
      <c r="D45" s="113">
        <f t="shared" si="1"/>
        <v>1210</v>
      </c>
      <c r="E45" s="114">
        <f t="shared" si="2"/>
        <v>3.315068493150685</v>
      </c>
      <c r="F45" s="112">
        <f>C45-H45</f>
        <v>0</v>
      </c>
      <c r="G45" s="115">
        <f t="shared" si="3"/>
        <v>1</v>
      </c>
      <c r="H45" s="116">
        <f>E92</f>
        <v>726000</v>
      </c>
      <c r="I45" s="113">
        <f t="shared" si="4"/>
        <v>1210</v>
      </c>
      <c r="J45" s="117">
        <f t="shared" si="5"/>
        <v>3.315068493150685</v>
      </c>
      <c r="K45" s="7"/>
      <c r="L45" s="7"/>
      <c r="R45" s="79"/>
      <c r="W45" s="25" t="s">
        <v>166</v>
      </c>
      <c r="X45" s="26"/>
      <c r="Y45" s="79"/>
      <c r="Z45" s="85"/>
      <c r="AA45" s="44" t="s">
        <v>167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31927702.049361702</v>
      </c>
      <c r="D46" s="119">
        <f>SUM(D38:D45)</f>
        <v>53212.83674893617</v>
      </c>
      <c r="E46" s="120">
        <f>SUM(E38:E45)</f>
        <v>145.78859383270182</v>
      </c>
      <c r="F46" s="119">
        <f>SUM(F38:F45)</f>
        <v>5325745.854884136</v>
      </c>
      <c r="G46" s="121">
        <f>H46/C46</f>
        <v>0.8331935744498528</v>
      </c>
      <c r="H46" s="118">
        <f>SUM(H38:H45)</f>
        <v>26601956.194477566</v>
      </c>
      <c r="I46" s="118">
        <f>SUM(I38:I45)</f>
        <v>44336.59365746261</v>
      </c>
      <c r="J46" s="122">
        <f>SUM(J38:J45)</f>
        <v>121.4701196094866</v>
      </c>
      <c r="K46" s="7"/>
      <c r="L46" s="7"/>
      <c r="R46" s="79"/>
      <c r="W46" s="25" t="s">
        <v>169</v>
      </c>
      <c r="X46" s="26"/>
      <c r="Y46" s="79"/>
      <c r="Z46" s="85"/>
      <c r="AA46" s="44" t="s">
        <v>59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R47" s="79"/>
      <c r="W47" s="25" t="s">
        <v>170</v>
      </c>
      <c r="X47" s="7"/>
      <c r="Y47" s="7"/>
      <c r="Z47" s="85"/>
      <c r="AA47" s="44" t="s">
        <v>59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27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R48" s="79"/>
      <c r="W48" s="25" t="s">
        <v>66</v>
      </c>
      <c r="X48" s="26"/>
      <c r="Y48" s="79"/>
      <c r="Z48" s="85"/>
      <c r="AA48" s="126" t="s">
        <v>67</v>
      </c>
    </row>
    <row r="49" spans="1:27" ht="12.75" customHeight="1" thickBot="1">
      <c r="A49" s="1">
        <f t="shared" si="0"/>
        <v>49</v>
      </c>
      <c r="B49" s="67" t="s">
        <v>174</v>
      </c>
      <c r="C49" s="247">
        <v>12648480</v>
      </c>
      <c r="D49" s="267">
        <v>0.9023186975826344</v>
      </c>
      <c r="E49" s="141">
        <f aca="true" t="shared" si="6" ref="E49:E57">C49*D49</f>
        <v>11412960</v>
      </c>
      <c r="F49" s="240">
        <v>168</v>
      </c>
      <c r="G49" s="241">
        <f>C49/F49</f>
        <v>75288.57142857143</v>
      </c>
      <c r="H49" s="25" t="s">
        <v>175</v>
      </c>
      <c r="I49" s="81"/>
      <c r="J49" s="129">
        <v>2000000</v>
      </c>
      <c r="K49" s="7"/>
      <c r="L49" s="7"/>
      <c r="M49" s="7"/>
      <c r="N49" s="7"/>
      <c r="O49" s="7"/>
      <c r="P49" s="7"/>
      <c r="Q49" s="130"/>
      <c r="R49" s="130"/>
      <c r="W49" s="25" t="s">
        <v>176</v>
      </c>
      <c r="X49" s="26"/>
      <c r="Y49" s="79"/>
      <c r="Z49" s="85"/>
      <c r="AA49" s="131" t="s">
        <v>73</v>
      </c>
    </row>
    <row r="50" spans="1:27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>
        <v>0</v>
      </c>
      <c r="K50" s="7"/>
      <c r="L50" s="9"/>
      <c r="M50" s="132"/>
      <c r="N50" s="133"/>
      <c r="O50" s="132"/>
      <c r="P50" s="134"/>
      <c r="Q50" s="133"/>
      <c r="R50" s="133"/>
      <c r="W50" s="67" t="s">
        <v>179</v>
      </c>
      <c r="X50" s="68"/>
      <c r="Y50" s="135"/>
      <c r="Z50" s="136"/>
      <c r="AA50" s="137" t="s">
        <v>59</v>
      </c>
    </row>
    <row r="51" spans="1:26" ht="12.75" customHeight="1" thickBot="1">
      <c r="A51" s="1">
        <f t="shared" si="0"/>
        <v>51</v>
      </c>
      <c r="B51" s="138" t="s">
        <v>180</v>
      </c>
      <c r="C51" s="175">
        <v>3494500</v>
      </c>
      <c r="D51" s="268">
        <v>0.941908713692946</v>
      </c>
      <c r="E51" s="141">
        <f t="shared" si="6"/>
        <v>3291500</v>
      </c>
      <c r="F51" s="240">
        <v>36</v>
      </c>
      <c r="G51" s="241">
        <f>C51/F51</f>
        <v>97069.44444444444</v>
      </c>
      <c r="H51" s="25" t="s">
        <v>181</v>
      </c>
      <c r="I51" s="85"/>
      <c r="J51" s="129">
        <v>0</v>
      </c>
      <c r="K51" s="7"/>
      <c r="L51" s="9"/>
      <c r="M51" s="132"/>
      <c r="N51" s="133"/>
      <c r="O51" s="132"/>
      <c r="P51" s="134"/>
      <c r="Q51" s="133"/>
      <c r="R51" s="133"/>
      <c r="W51" s="15" t="s">
        <v>182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200000</v>
      </c>
      <c r="D52" s="269">
        <v>0.9023186975826344</v>
      </c>
      <c r="E52" s="141">
        <f t="shared" si="6"/>
        <v>180463.73951652687</v>
      </c>
      <c r="F52" s="7"/>
      <c r="H52" s="25" t="s">
        <v>184</v>
      </c>
      <c r="I52" s="85"/>
      <c r="J52" s="129">
        <v>0</v>
      </c>
      <c r="K52" s="7"/>
      <c r="L52" s="9"/>
      <c r="M52" s="132"/>
      <c r="N52" s="133"/>
      <c r="O52" s="132"/>
      <c r="P52" s="134"/>
      <c r="Q52" s="133"/>
      <c r="R52" s="133"/>
      <c r="W52" s="25" t="s">
        <v>185</v>
      </c>
      <c r="X52" s="26"/>
      <c r="Y52" s="33"/>
      <c r="Z52" s="34" t="s">
        <v>49</v>
      </c>
    </row>
    <row r="53" spans="1:26" ht="12.75" customHeight="1">
      <c r="A53" s="1">
        <f t="shared" si="0"/>
        <v>53</v>
      </c>
      <c r="B53" s="25" t="s">
        <v>186</v>
      </c>
      <c r="C53" s="140">
        <v>250000</v>
      </c>
      <c r="D53" s="269">
        <v>0.75</v>
      </c>
      <c r="E53" s="141">
        <f t="shared" si="6"/>
        <v>187500</v>
      </c>
      <c r="F53" s="7"/>
      <c r="H53" s="25" t="s">
        <v>187</v>
      </c>
      <c r="I53" s="85"/>
      <c r="J53" s="129">
        <v>0</v>
      </c>
      <c r="K53" s="7"/>
      <c r="L53" s="9"/>
      <c r="M53" s="132"/>
      <c r="N53" s="133"/>
      <c r="O53" s="132"/>
      <c r="P53" s="134"/>
      <c r="Q53" s="133"/>
      <c r="R53" s="133"/>
      <c r="W53" s="25" t="s">
        <v>188</v>
      </c>
      <c r="X53" s="26"/>
      <c r="Y53" s="33"/>
      <c r="Z53" s="142">
        <v>1</v>
      </c>
    </row>
    <row r="54" spans="1:26" ht="12.75" customHeight="1">
      <c r="A54" s="1">
        <f t="shared" si="0"/>
        <v>54</v>
      </c>
      <c r="B54" s="25" t="s">
        <v>189</v>
      </c>
      <c r="C54" s="140">
        <v>200000</v>
      </c>
      <c r="D54" s="269">
        <v>0.9023186975826344</v>
      </c>
      <c r="E54" s="141">
        <f t="shared" si="6"/>
        <v>180463.73951652687</v>
      </c>
      <c r="F54" s="7"/>
      <c r="H54" s="25" t="s">
        <v>190</v>
      </c>
      <c r="I54" s="85"/>
      <c r="J54" s="129">
        <v>0</v>
      </c>
      <c r="K54" s="7"/>
      <c r="L54" s="9"/>
      <c r="M54" s="132"/>
      <c r="N54" s="133"/>
      <c r="O54" s="132"/>
      <c r="P54" s="134"/>
      <c r="Q54" s="133"/>
      <c r="R54" s="133"/>
      <c r="W54" s="25" t="s">
        <v>191</v>
      </c>
      <c r="X54" s="26"/>
      <c r="Y54" s="33"/>
      <c r="Z54" s="51">
        <v>20</v>
      </c>
    </row>
    <row r="55" spans="1:26" ht="12.75" customHeight="1">
      <c r="A55" s="1">
        <f t="shared" si="0"/>
        <v>55</v>
      </c>
      <c r="B55" s="25" t="s">
        <v>192</v>
      </c>
      <c r="C55" s="140">
        <v>50000</v>
      </c>
      <c r="D55" s="269">
        <v>0.941908713692946</v>
      </c>
      <c r="E55" s="141">
        <f t="shared" si="6"/>
        <v>47095.4356846473</v>
      </c>
      <c r="F55" s="7"/>
      <c r="H55" s="25" t="s">
        <v>193</v>
      </c>
      <c r="I55" s="85"/>
      <c r="J55" s="129">
        <v>0</v>
      </c>
      <c r="K55" s="7"/>
      <c r="L55" s="9"/>
      <c r="M55" s="132"/>
      <c r="N55" s="133"/>
      <c r="O55" s="132"/>
      <c r="P55" s="134"/>
      <c r="Q55" s="133"/>
      <c r="R55" s="133"/>
      <c r="W55" s="25" t="s">
        <v>194</v>
      </c>
      <c r="X55" s="26"/>
      <c r="Y55" s="33"/>
      <c r="Z55" s="34" t="s">
        <v>49</v>
      </c>
    </row>
    <row r="56" spans="1:26" ht="12.75" customHeight="1" thickBot="1">
      <c r="A56" s="1">
        <f t="shared" si="0"/>
        <v>56</v>
      </c>
      <c r="B56" s="25" t="s">
        <v>195</v>
      </c>
      <c r="C56" s="140">
        <v>200000</v>
      </c>
      <c r="D56" s="269">
        <v>0.941908713692946</v>
      </c>
      <c r="E56" s="141">
        <f t="shared" si="6"/>
        <v>188381.7427385892</v>
      </c>
      <c r="F56" s="7"/>
      <c r="H56" s="25" t="s">
        <v>196</v>
      </c>
      <c r="I56" s="85"/>
      <c r="J56" s="129">
        <v>0</v>
      </c>
      <c r="K56" s="7"/>
      <c r="L56" s="9"/>
      <c r="M56" s="132"/>
      <c r="N56" s="133"/>
      <c r="O56" s="132"/>
      <c r="P56" s="134"/>
      <c r="Q56" s="133"/>
      <c r="R56" s="133"/>
      <c r="W56" s="67" t="s">
        <v>197</v>
      </c>
      <c r="X56" s="68"/>
      <c r="Y56" s="69"/>
      <c r="Z56" s="143">
        <v>1</v>
      </c>
    </row>
    <row r="57" spans="1:18" ht="12.75" customHeight="1">
      <c r="A57" s="1">
        <f t="shared" si="0"/>
        <v>57</v>
      </c>
      <c r="B57" s="144" t="s">
        <v>198</v>
      </c>
      <c r="C57" s="145">
        <v>250000</v>
      </c>
      <c r="D57" s="270">
        <v>0.9</v>
      </c>
      <c r="E57" s="146">
        <f t="shared" si="6"/>
        <v>225000</v>
      </c>
      <c r="F57" s="7"/>
      <c r="H57" s="25" t="s">
        <v>199</v>
      </c>
      <c r="I57" s="85"/>
      <c r="J57" s="129">
        <v>0</v>
      </c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4644500</v>
      </c>
      <c r="D58" s="271">
        <f>E58/C58</f>
        <v>0.9259133722588632</v>
      </c>
      <c r="E58" s="141">
        <f>SUM(E51:E57)</f>
        <v>4300404.65745629</v>
      </c>
      <c r="F58" s="7"/>
      <c r="H58" s="149" t="s">
        <v>200</v>
      </c>
      <c r="I58" s="33"/>
      <c r="J58" s="129">
        <v>0</v>
      </c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>
        <v>0</v>
      </c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5000000</v>
      </c>
      <c r="D60" s="269">
        <v>0.9</v>
      </c>
      <c r="E60" s="141">
        <f>C60*D60</f>
        <v>4500000</v>
      </c>
      <c r="F60" s="7"/>
      <c r="H60" s="153" t="s">
        <v>204</v>
      </c>
      <c r="I60" s="154"/>
      <c r="J60" s="155">
        <f>SUM(J49:J59)</f>
        <v>2000000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2750000</v>
      </c>
      <c r="D61" s="269">
        <v>0.9</v>
      </c>
      <c r="E61" s="141">
        <f>C61*D61</f>
        <v>2475000</v>
      </c>
      <c r="F61" s="7"/>
      <c r="H61" s="25" t="s">
        <v>106</v>
      </c>
      <c r="I61" s="26"/>
      <c r="J61" s="157">
        <f>C22</f>
        <v>39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125000</v>
      </c>
      <c r="D62" s="269">
        <v>0.9</v>
      </c>
      <c r="E62" s="141">
        <f>C62*D62</f>
        <v>112500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150000</v>
      </c>
      <c r="D63" s="270">
        <v>0.9</v>
      </c>
      <c r="E63" s="146">
        <f>C63*D63</f>
        <v>135000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8025000</v>
      </c>
      <c r="D64" s="271">
        <f>E64/C64</f>
        <v>0.9</v>
      </c>
      <c r="E64" s="141">
        <f>SUM(E60:E63)</f>
        <v>7222500</v>
      </c>
      <c r="F64" s="7"/>
      <c r="H64" s="161" t="s">
        <v>210</v>
      </c>
      <c r="I64" s="162"/>
      <c r="J64" s="163">
        <f>J60*J63</f>
        <v>726000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400000</v>
      </c>
      <c r="D66" s="269">
        <v>0.9</v>
      </c>
      <c r="E66" s="141">
        <f aca="true" t="shared" si="8" ref="E66:E71">C66*D66</f>
        <v>360000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50000</v>
      </c>
      <c r="D67" s="269">
        <v>0.9</v>
      </c>
      <c r="E67" s="141">
        <f t="shared" si="8"/>
        <v>45000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20000</v>
      </c>
      <c r="D68" s="269">
        <v>0.5</v>
      </c>
      <c r="E68" s="141">
        <f t="shared" si="8"/>
        <v>10000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125000</v>
      </c>
      <c r="D69" s="269">
        <v>0.5</v>
      </c>
      <c r="E69" s="141">
        <f t="shared" si="8"/>
        <v>62500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750000</v>
      </c>
      <c r="D70" s="269">
        <v>0.5</v>
      </c>
      <c r="E70" s="141">
        <f t="shared" si="8"/>
        <v>375000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250000</v>
      </c>
      <c r="D71" s="270">
        <v>0.9</v>
      </c>
      <c r="E71" s="146">
        <f t="shared" si="8"/>
        <v>225000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1595000</v>
      </c>
      <c r="D72" s="271">
        <f>E72/C72</f>
        <v>0.6755485893416928</v>
      </c>
      <c r="E72" s="141">
        <f>SUM(E66:E71)</f>
        <v>1077500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1750000</v>
      </c>
      <c r="D74" s="269">
        <v>0.6</v>
      </c>
      <c r="E74" s="141">
        <f>C74*D74</f>
        <v>1050000</v>
      </c>
      <c r="F74" s="7"/>
      <c r="H74" s="25" t="s">
        <v>230</v>
      </c>
      <c r="I74" s="26"/>
      <c r="J74" s="28">
        <v>0.5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200000</v>
      </c>
      <c r="D75" s="269">
        <v>0.75</v>
      </c>
      <c r="E75" s="141">
        <f>C75*D75</f>
        <v>150000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41914.89361702128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1200000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502978.72340425535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3250000</v>
      </c>
      <c r="D78" s="271">
        <f>E78/C78</f>
        <v>0.3769230769230769</v>
      </c>
      <c r="E78" s="179">
        <f>SUM(E74:E77)</f>
        <v>1225000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3000000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30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9596029.276595745</v>
      </c>
      <c r="D81" s="269">
        <v>0.75</v>
      </c>
      <c r="E81" s="141">
        <f>C81*D81</f>
        <v>7197021.957446809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100000</v>
      </c>
      <c r="D82" s="270">
        <v>0.9</v>
      </c>
      <c r="E82" s="146">
        <f>C82*D82</f>
        <v>90000</v>
      </c>
      <c r="F82" s="7"/>
      <c r="H82" s="25" t="s">
        <v>244</v>
      </c>
      <c r="I82" s="26"/>
      <c r="J82" s="183">
        <f>C26*C23*1000/J81/2000</f>
        <v>236.4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12696029.276595745</v>
      </c>
      <c r="D83" s="271">
        <f>E83/C83</f>
        <v>0.5739607083988009</v>
      </c>
      <c r="E83" s="186">
        <f>SUM(E80:E82)</f>
        <v>7287021.957446809</v>
      </c>
      <c r="F83" s="7"/>
      <c r="H83" s="25" t="s">
        <v>245</v>
      </c>
      <c r="I83" s="26"/>
      <c r="J83" s="177">
        <f>J82*J80*24</f>
        <v>170208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888722.0493617023</v>
      </c>
      <c r="D85" s="273">
        <f>E85/C85</f>
        <v>0.5739607083988008</v>
      </c>
      <c r="E85" s="194">
        <f>$C$84*E83</f>
        <v>510091.53702127666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50000</v>
      </c>
      <c r="D87" s="269">
        <v>0.9</v>
      </c>
      <c r="E87" s="141">
        <f>C87*D87</f>
        <v>45000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50000</v>
      </c>
      <c r="D88" s="269">
        <v>0.75</v>
      </c>
      <c r="E88" s="141">
        <f>C88*D88</f>
        <v>37500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50000</v>
      </c>
      <c r="D89" s="269">
        <v>0.9</v>
      </c>
      <c r="E89" s="146">
        <f>C89*D89</f>
        <v>45000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150000</v>
      </c>
      <c r="D90" s="272">
        <f>E90/C90</f>
        <v>0.85</v>
      </c>
      <c r="E90" s="139">
        <f>SUM(E87:E89)</f>
        <v>127500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726000</v>
      </c>
      <c r="D92" s="267">
        <v>1</v>
      </c>
      <c r="E92" s="128">
        <f>C92*D92</f>
        <v>726000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Z55 Z52 I16 AA38">
      <formula1>$X$12:$AF$12</formula1>
    </dataValidation>
    <dataValidation type="list" allowBlank="1" showInputMessage="1" showErrorMessage="1" sqref="AA48 I26">
      <formula1>$X$15:$AD$15</formula1>
    </dataValidation>
    <dataValidation type="list" allowBlank="1" showInputMessage="1" showErrorMessage="1" sqref="AA31">
      <formula1>$X$7:$AA$7</formula1>
    </dataValidation>
    <dataValidation type="list" allowBlank="1" showInputMessage="1" showErrorMessage="1" sqref="AA32">
      <formula1>$X$8:$AA$8</formula1>
    </dataValidation>
    <dataValidation type="list" allowBlank="1" showInputMessage="1" showErrorMessage="1" sqref="AA33">
      <formula1>$X$10:$Z$10</formula1>
    </dataValidation>
    <dataValidation type="list" allowBlank="1" showInputMessage="1" showErrorMessage="1" sqref="AA34">
      <formula1>$X$11:$AF$11</formula1>
    </dataValidation>
    <dataValidation type="list" allowBlank="1" showInputMessage="1" showErrorMessage="1" sqref="AA42">
      <formula1>$X$13:$AC$13</formula1>
    </dataValidation>
    <dataValidation type="list" allowBlank="1" showInputMessage="1" showErrorMessage="1" sqref="AA43">
      <formula1>$X$14:$AD$14</formula1>
    </dataValidation>
    <dataValidation type="list" allowBlank="1" showInputMessage="1" showErrorMessage="1" sqref="AA49">
      <formula1>$X$16:$AE$16</formula1>
    </dataValidation>
    <dataValidation type="list" allowBlank="1" showInputMessage="1" showErrorMessage="1" sqref="I7">
      <formula1>$X$7:$AF$7</formula1>
    </dataValidation>
    <dataValidation type="list" allowBlank="1" showInputMessage="1" showErrorMessage="1" sqref="I8">
      <formula1>$X$9:$AB$9</formula1>
    </dataValidation>
    <dataValidation type="list" allowBlank="1" showInputMessage="1" showErrorMessage="1" sqref="I9">
      <formula1>$X$17:$AC$17</formula1>
    </dataValidation>
    <dataValidation type="list" allowBlank="1" showInputMessage="1" showErrorMessage="1" sqref="I10">
      <formula1>$X$18:$AD$18</formula1>
    </dataValidation>
    <dataValidation type="list" allowBlank="1" showInputMessage="1" showErrorMessage="1" sqref="I19:I20">
      <formula1>$X$19:$AE$19</formula1>
    </dataValidation>
    <dataValidation type="list" allowBlank="1" showInputMessage="1" showErrorMessage="1" sqref="I21:I23">
      <formula1>$X$20:$AD$20</formula1>
    </dataValidation>
    <dataValidation type="list" allowBlank="1" showInputMessage="1" showErrorMessage="1" sqref="I24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2" r:id="rId1"/>
  <headerFooter alignWithMargins="0"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7.140625" style="3" customWidth="1"/>
    <col min="8" max="8" width="16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3.8515625" style="3" customWidth="1"/>
    <col min="14" max="14" width="24.00390625" style="3" customWidth="1"/>
    <col min="15" max="15" width="12.57421875" style="3" customWidth="1"/>
    <col min="16" max="16" width="10.28125" style="3" customWidth="1"/>
    <col min="17" max="17" width="17.00390625" style="3" bestFit="1" customWidth="1"/>
    <col min="18" max="18" width="12.2812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1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332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6</v>
      </c>
      <c r="D6" s="11"/>
      <c r="F6" s="15" t="s">
        <v>5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8</v>
      </c>
      <c r="G7" s="26"/>
      <c r="H7" s="27"/>
      <c r="I7" s="28" t="s">
        <v>9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20</v>
      </c>
      <c r="G8" s="26"/>
      <c r="H8" s="33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24</v>
      </c>
      <c r="G9" s="26"/>
      <c r="H9" s="33"/>
      <c r="I9" s="34" t="s">
        <v>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28</v>
      </c>
      <c r="G10" s="26"/>
      <c r="H10" s="33"/>
      <c r="I10" s="39" t="s">
        <v>29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F11" s="25" t="s">
        <v>35</v>
      </c>
      <c r="G11" s="26"/>
      <c r="H11" s="33"/>
      <c r="I11" s="41">
        <v>840000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F12" s="25" t="s">
        <v>45</v>
      </c>
      <c r="G12" s="26"/>
      <c r="H12" s="33"/>
      <c r="I12" s="41">
        <v>2</v>
      </c>
      <c r="J12" s="7"/>
      <c r="K12" s="207" t="s">
        <v>319</v>
      </c>
      <c r="L12" s="26"/>
      <c r="M12" s="26"/>
      <c r="N12" s="245">
        <v>0</v>
      </c>
      <c r="O12" s="7"/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F13" s="25" t="s">
        <v>51</v>
      </c>
      <c r="G13" s="26"/>
      <c r="H13" s="33"/>
      <c r="I13" s="44" t="s">
        <v>52</v>
      </c>
      <c r="J13" s="7"/>
      <c r="K13" s="207" t="s">
        <v>320</v>
      </c>
      <c r="L13" s="26"/>
      <c r="M13" s="26"/>
      <c r="N13" s="245">
        <v>0</v>
      </c>
      <c r="O13" s="7"/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F14" s="25" t="s">
        <v>58</v>
      </c>
      <c r="G14" s="26"/>
      <c r="H14" s="33"/>
      <c r="I14" s="44" t="s">
        <v>59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F15" s="25" t="s">
        <v>65</v>
      </c>
      <c r="G15" s="26"/>
      <c r="H15" s="33"/>
      <c r="I15" s="47">
        <f>C23*C26/1000</f>
        <v>1188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F16" s="25" t="s">
        <v>46</v>
      </c>
      <c r="G16" s="26"/>
      <c r="H16" s="33"/>
      <c r="I16" s="44" t="s">
        <v>37</v>
      </c>
      <c r="J16" s="7"/>
      <c r="K16" s="285" t="s">
        <v>340</v>
      </c>
      <c r="L16" s="286"/>
      <c r="M16" s="286"/>
      <c r="N16" s="287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F17" s="25" t="s">
        <v>80</v>
      </c>
      <c r="G17" s="26"/>
      <c r="H17" s="33"/>
      <c r="I17" s="51">
        <v>100</v>
      </c>
      <c r="J17" s="7"/>
      <c r="K17" s="279" t="s">
        <v>336</v>
      </c>
      <c r="L17" s="280"/>
      <c r="M17" s="280"/>
      <c r="N17" s="281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F18" s="25" t="s">
        <v>85</v>
      </c>
      <c r="G18" s="26"/>
      <c r="H18" s="33"/>
      <c r="I18" s="53">
        <f>I11/I17/1000</f>
        <v>8.4</v>
      </c>
      <c r="J18" s="7"/>
      <c r="K18" s="279" t="s">
        <v>337</v>
      </c>
      <c r="L18" s="280"/>
      <c r="M18" s="280"/>
      <c r="N18" s="281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29</v>
      </c>
      <c r="AB18" s="37" t="s">
        <v>44</v>
      </c>
      <c r="AC18" s="37" t="s">
        <v>22</v>
      </c>
      <c r="AD18" s="37" t="s">
        <v>33</v>
      </c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F19" s="25" t="s">
        <v>90</v>
      </c>
      <c r="G19" s="26"/>
      <c r="H19" s="33"/>
      <c r="I19" s="51" t="s">
        <v>91</v>
      </c>
      <c r="J19" s="7"/>
      <c r="K19" s="279" t="s">
        <v>334</v>
      </c>
      <c r="L19" s="280"/>
      <c r="M19" s="280"/>
      <c r="N19" s="281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1990</v>
      </c>
      <c r="D20" s="7"/>
      <c r="F20" s="25" t="s">
        <v>96</v>
      </c>
      <c r="H20" s="56"/>
      <c r="I20" s="51" t="s">
        <v>64</v>
      </c>
      <c r="J20" s="7"/>
      <c r="K20" s="279" t="s">
        <v>341</v>
      </c>
      <c r="L20" s="280"/>
      <c r="M20" s="280"/>
      <c r="N20" s="281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F21" s="25" t="s">
        <v>103</v>
      </c>
      <c r="G21" s="26"/>
      <c r="H21" s="33"/>
      <c r="I21" s="51" t="s">
        <v>98</v>
      </c>
      <c r="J21" s="7"/>
      <c r="K21" s="279" t="s">
        <v>335</v>
      </c>
      <c r="L21" s="280"/>
      <c r="M21" s="280"/>
      <c r="N21" s="28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17</v>
      </c>
      <c r="D22" s="7"/>
      <c r="F22" s="25" t="s">
        <v>107</v>
      </c>
      <c r="H22" s="56"/>
      <c r="I22" s="51" t="s">
        <v>101</v>
      </c>
      <c r="J22" s="7"/>
      <c r="K22" s="279" t="s">
        <v>339</v>
      </c>
      <c r="L22" s="280"/>
      <c r="M22" s="280"/>
      <c r="N22" s="28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13500</v>
      </c>
      <c r="D23" s="7"/>
      <c r="F23" s="25" t="s">
        <v>109</v>
      </c>
      <c r="H23" s="56"/>
      <c r="I23" s="51" t="s">
        <v>100</v>
      </c>
      <c r="J23" s="7"/>
      <c r="K23" s="282" t="s">
        <v>338</v>
      </c>
      <c r="L23" s="283"/>
      <c r="M23" s="283"/>
      <c r="N23" s="284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150</v>
      </c>
      <c r="D24" s="7"/>
      <c r="F24" s="25" t="s">
        <v>104</v>
      </c>
      <c r="G24" s="26"/>
      <c r="H24" s="33"/>
      <c r="I24" s="51" t="s">
        <v>105</v>
      </c>
      <c r="J24" s="7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64">
        <f>C24*1000/C26</f>
        <v>1704.5454545454545</v>
      </c>
      <c r="D25" s="7"/>
      <c r="F25" s="25" t="s">
        <v>113</v>
      </c>
      <c r="G25" s="26"/>
      <c r="H25" s="33"/>
      <c r="I25" s="41">
        <v>1</v>
      </c>
      <c r="J25" s="7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88</v>
      </c>
      <c r="D26" s="7"/>
      <c r="F26" s="67" t="s">
        <v>116</v>
      </c>
      <c r="G26" s="68"/>
      <c r="H26" s="69"/>
      <c r="I26" s="70" t="s">
        <v>67</v>
      </c>
      <c r="J26" s="7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88</v>
      </c>
      <c r="D28" s="7"/>
      <c r="J28" s="7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 thickBot="1">
      <c r="A29" s="1">
        <f t="shared" si="0"/>
        <v>29</v>
      </c>
      <c r="B29" s="49" t="s">
        <v>121</v>
      </c>
      <c r="C29" s="75">
        <f>B34</f>
        <v>170.13443126591068</v>
      </c>
      <c r="D29" s="7"/>
      <c r="E29" s="76"/>
      <c r="J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170.13443126591068</v>
      </c>
      <c r="D30" s="7"/>
      <c r="J30" s="7"/>
      <c r="W30" s="15" t="s">
        <v>123</v>
      </c>
      <c r="X30" s="16"/>
      <c r="Y30" s="17"/>
      <c r="Z30" s="16"/>
      <c r="AA30" s="1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W31" s="25" t="s">
        <v>124</v>
      </c>
      <c r="X31" s="26"/>
      <c r="Y31" s="79"/>
      <c r="Z31" s="81"/>
      <c r="AA31" s="28" t="s">
        <v>11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W32" s="25" t="s">
        <v>126</v>
      </c>
      <c r="X32" s="26"/>
      <c r="Y32" s="79"/>
      <c r="Z32" s="85"/>
      <c r="AA32" s="34" t="s">
        <v>22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W33" s="25" t="s">
        <v>137</v>
      </c>
      <c r="X33" s="26"/>
      <c r="Y33" s="79"/>
      <c r="Z33" s="85"/>
      <c r="AA33" s="34" t="s">
        <v>31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170.13443126591068</v>
      </c>
      <c r="C34" s="91">
        <v>1.1</v>
      </c>
      <c r="D34" s="92">
        <f>J38</f>
        <v>59.641344956413455</v>
      </c>
      <c r="E34" s="92">
        <f>J39</f>
        <v>17.542524223878377</v>
      </c>
      <c r="F34" s="92">
        <f>J40</f>
        <v>44.831880448318806</v>
      </c>
      <c r="G34" s="92">
        <f>J41</f>
        <v>10.305105853051058</v>
      </c>
      <c r="H34" s="92">
        <f>J42</f>
        <v>16.92870485678705</v>
      </c>
      <c r="I34" s="92">
        <f>J43</f>
        <v>0.8648665907103682</v>
      </c>
      <c r="J34" s="92">
        <f>J44</f>
        <v>1.984744707347447</v>
      </c>
      <c r="K34" s="93">
        <f>J45</f>
        <v>2.8253424657534247</v>
      </c>
      <c r="W34" s="25" t="s">
        <v>138</v>
      </c>
      <c r="X34" s="26"/>
      <c r="Y34" s="79"/>
      <c r="Z34" s="85"/>
      <c r="AA34" s="34" t="s">
        <v>37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W35" s="25" t="s">
        <v>139</v>
      </c>
      <c r="X35" s="26"/>
      <c r="Y35" s="79"/>
      <c r="Z35" s="85"/>
      <c r="AA35" s="39" t="s">
        <v>140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R36" s="79"/>
      <c r="W36" s="25" t="s">
        <v>142</v>
      </c>
      <c r="X36" s="26"/>
      <c r="Y36" s="79"/>
      <c r="Z36" s="85"/>
      <c r="AA36" s="51">
        <v>171.7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R37" s="79"/>
      <c r="W37" s="25" t="s">
        <v>152</v>
      </c>
      <c r="X37" s="26"/>
      <c r="Y37" s="79"/>
      <c r="Z37" s="85"/>
      <c r="AA37" s="41">
        <v>2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2449200</v>
      </c>
      <c r="D38" s="104">
        <f aca="true" t="shared" si="1" ref="D38:D45">C38/$C$26</f>
        <v>27831.81818181818</v>
      </c>
      <c r="E38" s="105">
        <f aca="true" t="shared" si="2" ref="E38:E45">C38/$C$26/365</f>
        <v>76.25155666251557</v>
      </c>
      <c r="F38" s="106">
        <f>C38-H38</f>
        <v>533519.9999999998</v>
      </c>
      <c r="G38" s="107">
        <f aca="true" t="shared" si="3" ref="G38:G45">IF(C38=0,0,H38/C38)</f>
        <v>0.7821656050955414</v>
      </c>
      <c r="H38" s="103">
        <f>E49</f>
        <v>1915680.0000000002</v>
      </c>
      <c r="I38" s="108">
        <f aca="true" t="shared" si="4" ref="I38:I45">H38/$C$26</f>
        <v>21769.09090909091</v>
      </c>
      <c r="J38" s="109">
        <f aca="true" t="shared" si="5" ref="J38:J45">H38/$C$26/365</f>
        <v>59.641344956413455</v>
      </c>
      <c r="K38" s="7"/>
      <c r="L38" s="7"/>
      <c r="R38" s="79"/>
      <c r="W38" s="25" t="s">
        <v>46</v>
      </c>
      <c r="X38" s="26"/>
      <c r="Y38" s="79"/>
      <c r="Z38" s="85"/>
      <c r="AA38" s="44" t="s">
        <v>37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722500</v>
      </c>
      <c r="D39" s="104">
        <f t="shared" si="1"/>
        <v>8210.227272727272</v>
      </c>
      <c r="E39" s="105">
        <f t="shared" si="2"/>
        <v>22.493773349937733</v>
      </c>
      <c r="F39" s="106">
        <f>C39-H39</f>
        <v>159034.12192902644</v>
      </c>
      <c r="G39" s="110">
        <f t="shared" si="3"/>
        <v>0.7798835682643233</v>
      </c>
      <c r="H39" s="103">
        <f>E58</f>
        <v>563465.8780709736</v>
      </c>
      <c r="I39" s="104">
        <f t="shared" si="4"/>
        <v>6403.021341715608</v>
      </c>
      <c r="J39" s="109">
        <f t="shared" si="5"/>
        <v>17.542524223878377</v>
      </c>
      <c r="K39" s="7"/>
      <c r="L39" s="7"/>
      <c r="R39" s="79"/>
      <c r="W39" s="25" t="s">
        <v>80</v>
      </c>
      <c r="X39" s="26"/>
      <c r="Y39" s="79"/>
      <c r="Z39" s="85"/>
      <c r="AA39" s="51">
        <v>200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1600000</v>
      </c>
      <c r="D40" s="104">
        <f t="shared" si="1"/>
        <v>18181.81818181818</v>
      </c>
      <c r="E40" s="105">
        <f t="shared" si="2"/>
        <v>49.813200498132</v>
      </c>
      <c r="F40" s="106">
        <f>C40-H40</f>
        <v>160000</v>
      </c>
      <c r="G40" s="110">
        <f t="shared" si="3"/>
        <v>0.9</v>
      </c>
      <c r="H40" s="103">
        <f>E64</f>
        <v>1440000</v>
      </c>
      <c r="I40" s="104">
        <f t="shared" si="4"/>
        <v>16363.636363636364</v>
      </c>
      <c r="J40" s="109">
        <f t="shared" si="5"/>
        <v>44.831880448318806</v>
      </c>
      <c r="K40" s="7"/>
      <c r="L40" s="7"/>
      <c r="R40" s="79"/>
      <c r="W40" s="25" t="s">
        <v>113</v>
      </c>
      <c r="X40" s="26"/>
      <c r="Y40" s="79"/>
      <c r="Z40" s="85"/>
      <c r="AA40" s="41">
        <v>1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450000</v>
      </c>
      <c r="D41" s="104">
        <f t="shared" si="1"/>
        <v>5113.636363636364</v>
      </c>
      <c r="E41" s="105">
        <f t="shared" si="2"/>
        <v>14.009962640099626</v>
      </c>
      <c r="F41" s="106">
        <f>C41-H41</f>
        <v>119000</v>
      </c>
      <c r="G41" s="110">
        <f t="shared" si="3"/>
        <v>0.7355555555555555</v>
      </c>
      <c r="H41" s="103">
        <f>E72</f>
        <v>331000</v>
      </c>
      <c r="I41" s="104">
        <f t="shared" si="4"/>
        <v>3761.3636363636365</v>
      </c>
      <c r="J41" s="109">
        <f t="shared" si="5"/>
        <v>10.305105853051058</v>
      </c>
      <c r="K41" s="7"/>
      <c r="L41" s="7"/>
      <c r="R41" s="79"/>
      <c r="W41" s="25" t="s">
        <v>157</v>
      </c>
      <c r="X41" s="26"/>
      <c r="Y41" s="79"/>
      <c r="Z41" s="85"/>
      <c r="AA41" s="51">
        <v>30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1125000</v>
      </c>
      <c r="D42" s="104">
        <f t="shared" si="1"/>
        <v>12784.09090909091</v>
      </c>
      <c r="E42" s="105">
        <f t="shared" si="2"/>
        <v>35.02490660024907</v>
      </c>
      <c r="F42" s="106">
        <f>C78-E78</f>
        <v>581250</v>
      </c>
      <c r="G42" s="110">
        <f t="shared" si="3"/>
        <v>0.48333333333333334</v>
      </c>
      <c r="H42" s="103">
        <f>E78</f>
        <v>543750</v>
      </c>
      <c r="I42" s="104">
        <f t="shared" si="4"/>
        <v>6178.977272727273</v>
      </c>
      <c r="J42" s="109">
        <f t="shared" si="5"/>
        <v>16.92870485678705</v>
      </c>
      <c r="K42" s="7"/>
      <c r="L42" s="7"/>
      <c r="R42" s="79"/>
      <c r="W42" s="25" t="s">
        <v>159</v>
      </c>
      <c r="X42" s="26"/>
      <c r="Y42" s="79"/>
      <c r="Z42" s="85"/>
      <c r="AA42" s="41" t="s">
        <v>54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106339.35319148937</v>
      </c>
      <c r="D43" s="104">
        <f t="shared" si="1"/>
        <v>1208.401740812379</v>
      </c>
      <c r="E43" s="105">
        <f t="shared" si="2"/>
        <v>3.3106897008558334</v>
      </c>
      <c r="F43" s="106">
        <f>C43-H43</f>
        <v>78559.83829787234</v>
      </c>
      <c r="G43" s="110">
        <f t="shared" si="3"/>
        <v>0.26123456707126463</v>
      </c>
      <c r="H43" s="103">
        <f>E85</f>
        <v>27779.514893617026</v>
      </c>
      <c r="I43" s="104">
        <f t="shared" si="4"/>
        <v>315.6763056092844</v>
      </c>
      <c r="J43" s="109">
        <f t="shared" si="5"/>
        <v>0.8648665907103682</v>
      </c>
      <c r="K43" s="7"/>
      <c r="L43" s="7"/>
      <c r="R43" s="79"/>
      <c r="W43" s="25" t="s">
        <v>161</v>
      </c>
      <c r="X43" s="26"/>
      <c r="Y43" s="79"/>
      <c r="Z43" s="85"/>
      <c r="AA43" s="41" t="s">
        <v>61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75000</v>
      </c>
      <c r="D44" s="104">
        <f t="shared" si="1"/>
        <v>852.2727272727273</v>
      </c>
      <c r="E44" s="105">
        <f t="shared" si="2"/>
        <v>2.3349937733499377</v>
      </c>
      <c r="F44" s="106">
        <f>C44-H44</f>
        <v>11250</v>
      </c>
      <c r="G44" s="110">
        <f t="shared" si="3"/>
        <v>0.85</v>
      </c>
      <c r="H44" s="103">
        <f>E90</f>
        <v>63750</v>
      </c>
      <c r="I44" s="104">
        <f t="shared" si="4"/>
        <v>724.4318181818181</v>
      </c>
      <c r="J44" s="109">
        <f t="shared" si="5"/>
        <v>1.984744707347447</v>
      </c>
      <c r="K44" s="7"/>
      <c r="L44" s="7"/>
      <c r="R44" s="79"/>
      <c r="W44" s="25" t="s">
        <v>163</v>
      </c>
      <c r="X44" s="26"/>
      <c r="Y44" s="79"/>
      <c r="Z44" s="85"/>
      <c r="AA44" s="44" t="s">
        <v>164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90750</v>
      </c>
      <c r="D45" s="113">
        <f t="shared" si="1"/>
        <v>1031.25</v>
      </c>
      <c r="E45" s="114">
        <f t="shared" si="2"/>
        <v>2.8253424657534247</v>
      </c>
      <c r="F45" s="112">
        <f>C45-H45</f>
        <v>0</v>
      </c>
      <c r="G45" s="115">
        <f t="shared" si="3"/>
        <v>1</v>
      </c>
      <c r="H45" s="116">
        <f>E92</f>
        <v>90750</v>
      </c>
      <c r="I45" s="113">
        <f t="shared" si="4"/>
        <v>1031.25</v>
      </c>
      <c r="J45" s="117">
        <f t="shared" si="5"/>
        <v>2.8253424657534247</v>
      </c>
      <c r="K45" s="7"/>
      <c r="L45" s="7"/>
      <c r="R45" s="79"/>
      <c r="W45" s="25" t="s">
        <v>166</v>
      </c>
      <c r="X45" s="26"/>
      <c r="Y45" s="79"/>
      <c r="Z45" s="85"/>
      <c r="AA45" s="44" t="s">
        <v>167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6618789.353191489</v>
      </c>
      <c r="D46" s="119">
        <f>SUM(D38:D45)</f>
        <v>75213.51537717601</v>
      </c>
      <c r="E46" s="120">
        <f>SUM(E38:E45)</f>
        <v>206.06442569089322</v>
      </c>
      <c r="F46" s="119">
        <f>SUM(F38:F45)</f>
        <v>1642613.9602268985</v>
      </c>
      <c r="G46" s="121">
        <f>H46/C46</f>
        <v>0.751825617560279</v>
      </c>
      <c r="H46" s="118">
        <f>SUM(H38:H45)</f>
        <v>4976175.392964591</v>
      </c>
      <c r="I46" s="118">
        <f>SUM(I38:I45)</f>
        <v>56547.447647324894</v>
      </c>
      <c r="J46" s="122">
        <f>SUM(J38:J45)</f>
        <v>154.92451410226002</v>
      </c>
      <c r="K46" s="7"/>
      <c r="L46" s="7"/>
      <c r="R46" s="79"/>
      <c r="W46" s="25" t="s">
        <v>169</v>
      </c>
      <c r="X46" s="26"/>
      <c r="Y46" s="79"/>
      <c r="Z46" s="85"/>
      <c r="AA46" s="44" t="s">
        <v>59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R47" s="79"/>
      <c r="W47" s="25" t="s">
        <v>170</v>
      </c>
      <c r="X47" s="7"/>
      <c r="Y47" s="7"/>
      <c r="Z47" s="85"/>
      <c r="AA47" s="44" t="s">
        <v>59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27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R48" s="79"/>
      <c r="W48" s="25" t="s">
        <v>66</v>
      </c>
      <c r="X48" s="26"/>
      <c r="Y48" s="79"/>
      <c r="Z48" s="85"/>
      <c r="AA48" s="126" t="s">
        <v>67</v>
      </c>
    </row>
    <row r="49" spans="1:27" ht="12.75" customHeight="1" thickBot="1">
      <c r="A49" s="1">
        <f t="shared" si="0"/>
        <v>49</v>
      </c>
      <c r="B49" s="67" t="s">
        <v>174</v>
      </c>
      <c r="C49" s="247">
        <v>2449200</v>
      </c>
      <c r="D49" s="267">
        <v>0.7821656050955414</v>
      </c>
      <c r="E49" s="141">
        <f aca="true" t="shared" si="6" ref="E49:E57">C49*D49</f>
        <v>1915680.0000000002</v>
      </c>
      <c r="F49" s="240">
        <v>32</v>
      </c>
      <c r="G49" s="241">
        <f>C49/F49</f>
        <v>76537.5</v>
      </c>
      <c r="H49" s="25" t="s">
        <v>175</v>
      </c>
      <c r="I49" s="81"/>
      <c r="J49" s="129">
        <v>250000</v>
      </c>
      <c r="K49" s="7"/>
      <c r="L49" s="7"/>
      <c r="M49" s="7"/>
      <c r="N49" s="7"/>
      <c r="O49" s="7"/>
      <c r="P49" s="7"/>
      <c r="Q49" s="130"/>
      <c r="R49" s="130"/>
      <c r="W49" s="25" t="s">
        <v>176</v>
      </c>
      <c r="X49" s="26"/>
      <c r="Y49" s="79"/>
      <c r="Z49" s="85"/>
      <c r="AA49" s="131" t="s">
        <v>73</v>
      </c>
    </row>
    <row r="50" spans="1:27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>
        <v>0</v>
      </c>
      <c r="K50" s="7"/>
      <c r="L50" s="9"/>
      <c r="M50" s="132"/>
      <c r="N50" s="133"/>
      <c r="O50" s="132"/>
      <c r="P50" s="134"/>
      <c r="Q50" s="133"/>
      <c r="R50" s="133"/>
      <c r="W50" s="67" t="s">
        <v>179</v>
      </c>
      <c r="X50" s="68"/>
      <c r="Y50" s="135"/>
      <c r="Z50" s="136"/>
      <c r="AA50" s="137" t="s">
        <v>59</v>
      </c>
    </row>
    <row r="51" spans="1:26" ht="12.75" customHeight="1" thickBot="1">
      <c r="A51" s="1">
        <f t="shared" si="0"/>
        <v>51</v>
      </c>
      <c r="B51" s="138" t="s">
        <v>180</v>
      </c>
      <c r="C51" s="175">
        <v>507500</v>
      </c>
      <c r="D51" s="268">
        <v>0.7714285714285715</v>
      </c>
      <c r="E51" s="141">
        <f t="shared" si="6"/>
        <v>391500</v>
      </c>
      <c r="F51" s="240">
        <v>5</v>
      </c>
      <c r="G51" s="241">
        <f>C51/F51</f>
        <v>101500</v>
      </c>
      <c r="H51" s="25" t="s">
        <v>181</v>
      </c>
      <c r="I51" s="85"/>
      <c r="J51" s="129">
        <v>0</v>
      </c>
      <c r="K51" s="7"/>
      <c r="L51" s="9"/>
      <c r="M51" s="132"/>
      <c r="N51" s="133"/>
      <c r="O51" s="132"/>
      <c r="P51" s="134"/>
      <c r="Q51" s="133"/>
      <c r="R51" s="133"/>
      <c r="W51" s="15" t="s">
        <v>182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35000</v>
      </c>
      <c r="D52" s="269">
        <v>0.7821656050955414</v>
      </c>
      <c r="E52" s="141">
        <f t="shared" si="6"/>
        <v>27375.79617834395</v>
      </c>
      <c r="F52" s="7"/>
      <c r="H52" s="25" t="s">
        <v>184</v>
      </c>
      <c r="I52" s="85"/>
      <c r="J52" s="129">
        <v>0</v>
      </c>
      <c r="K52" s="7"/>
      <c r="L52" s="9"/>
      <c r="M52" s="132"/>
      <c r="N52" s="133"/>
      <c r="O52" s="132"/>
      <c r="P52" s="134"/>
      <c r="Q52" s="133"/>
      <c r="R52" s="133"/>
      <c r="W52" s="25" t="s">
        <v>185</v>
      </c>
      <c r="X52" s="26"/>
      <c r="Y52" s="33"/>
      <c r="Z52" s="34" t="s">
        <v>49</v>
      </c>
    </row>
    <row r="53" spans="1:26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>
        <v>0</v>
      </c>
      <c r="K53" s="7"/>
      <c r="L53" s="9"/>
      <c r="M53" s="132"/>
      <c r="N53" s="133"/>
      <c r="O53" s="132"/>
      <c r="P53" s="134"/>
      <c r="Q53" s="133"/>
      <c r="R53" s="133"/>
      <c r="W53" s="25" t="s">
        <v>188</v>
      </c>
      <c r="X53" s="26"/>
      <c r="Y53" s="33"/>
      <c r="Z53" s="142">
        <v>1</v>
      </c>
    </row>
    <row r="54" spans="1:26" ht="12.75" customHeight="1">
      <c r="A54" s="1">
        <f t="shared" si="0"/>
        <v>54</v>
      </c>
      <c r="B54" s="25" t="s">
        <v>189</v>
      </c>
      <c r="C54" s="140">
        <v>35000</v>
      </c>
      <c r="D54" s="269">
        <v>0.7821656050955414</v>
      </c>
      <c r="E54" s="141">
        <f t="shared" si="6"/>
        <v>27375.79617834395</v>
      </c>
      <c r="F54" s="7"/>
      <c r="H54" s="25" t="s">
        <v>190</v>
      </c>
      <c r="I54" s="85"/>
      <c r="J54" s="129">
        <v>0</v>
      </c>
      <c r="K54" s="7"/>
      <c r="L54" s="9"/>
      <c r="M54" s="132"/>
      <c r="N54" s="133"/>
      <c r="O54" s="132"/>
      <c r="P54" s="134"/>
      <c r="Q54" s="133"/>
      <c r="R54" s="133"/>
      <c r="W54" s="25" t="s">
        <v>191</v>
      </c>
      <c r="X54" s="26"/>
      <c r="Y54" s="33"/>
      <c r="Z54" s="51">
        <v>20</v>
      </c>
    </row>
    <row r="55" spans="1:26" ht="12.75" customHeight="1">
      <c r="A55" s="1">
        <f t="shared" si="0"/>
        <v>55</v>
      </c>
      <c r="B55" s="25" t="s">
        <v>192</v>
      </c>
      <c r="C55" s="140">
        <v>15000</v>
      </c>
      <c r="D55" s="269">
        <v>0.7714285714285715</v>
      </c>
      <c r="E55" s="141">
        <f t="shared" si="6"/>
        <v>11571.428571428572</v>
      </c>
      <c r="F55" s="7"/>
      <c r="H55" s="25" t="s">
        <v>193</v>
      </c>
      <c r="I55" s="85"/>
      <c r="J55" s="129">
        <v>0</v>
      </c>
      <c r="K55" s="7"/>
      <c r="L55" s="9"/>
      <c r="M55" s="132"/>
      <c r="N55" s="133"/>
      <c r="O55" s="132"/>
      <c r="P55" s="134"/>
      <c r="Q55" s="133"/>
      <c r="R55" s="133"/>
      <c r="W55" s="25" t="s">
        <v>194</v>
      </c>
      <c r="X55" s="26"/>
      <c r="Y55" s="33"/>
      <c r="Z55" s="34" t="s">
        <v>49</v>
      </c>
    </row>
    <row r="56" spans="1:26" ht="12.75" customHeight="1" thickBot="1">
      <c r="A56" s="1">
        <f t="shared" si="0"/>
        <v>56</v>
      </c>
      <c r="B56" s="25" t="s">
        <v>195</v>
      </c>
      <c r="C56" s="140">
        <v>30000</v>
      </c>
      <c r="D56" s="269">
        <v>0.7714285714285715</v>
      </c>
      <c r="E56" s="141">
        <f t="shared" si="6"/>
        <v>23142.857142857145</v>
      </c>
      <c r="F56" s="7"/>
      <c r="H56" s="25" t="s">
        <v>196</v>
      </c>
      <c r="I56" s="85"/>
      <c r="J56" s="129">
        <v>0</v>
      </c>
      <c r="K56" s="7"/>
      <c r="L56" s="9"/>
      <c r="M56" s="132"/>
      <c r="N56" s="133"/>
      <c r="O56" s="132"/>
      <c r="P56" s="134"/>
      <c r="Q56" s="133"/>
      <c r="R56" s="133"/>
      <c r="W56" s="67" t="s">
        <v>197</v>
      </c>
      <c r="X56" s="68"/>
      <c r="Y56" s="69"/>
      <c r="Z56" s="143">
        <v>1</v>
      </c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>
        <v>0</v>
      </c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722500</v>
      </c>
      <c r="D58" s="271">
        <f>E58/C58</f>
        <v>0.7798835682643233</v>
      </c>
      <c r="E58" s="141">
        <f>SUM(E51:E57)</f>
        <v>563465.8780709736</v>
      </c>
      <c r="F58" s="7"/>
      <c r="H58" s="149" t="s">
        <v>200</v>
      </c>
      <c r="I58" s="33"/>
      <c r="J58" s="129">
        <v>0</v>
      </c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>
        <v>0</v>
      </c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1000000</v>
      </c>
      <c r="D60" s="269">
        <v>0.9</v>
      </c>
      <c r="E60" s="141">
        <f>C60*D60</f>
        <v>900000</v>
      </c>
      <c r="F60" s="7"/>
      <c r="H60" s="153" t="s">
        <v>204</v>
      </c>
      <c r="I60" s="154"/>
      <c r="J60" s="155">
        <f>SUM(J49:J59)</f>
        <v>250000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500000</v>
      </c>
      <c r="D61" s="269">
        <v>0.9</v>
      </c>
      <c r="E61" s="141">
        <f>C61*D61</f>
        <v>450000</v>
      </c>
      <c r="F61" s="7"/>
      <c r="H61" s="25" t="s">
        <v>106</v>
      </c>
      <c r="I61" s="26"/>
      <c r="J61" s="157">
        <f>C22</f>
        <v>17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50000</v>
      </c>
      <c r="D62" s="269">
        <v>0.9</v>
      </c>
      <c r="E62" s="141">
        <f>C62*D62</f>
        <v>45000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50000</v>
      </c>
      <c r="D63" s="270">
        <v>0.9</v>
      </c>
      <c r="E63" s="146">
        <f>C63*D63</f>
        <v>45000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1600000</v>
      </c>
      <c r="D64" s="271">
        <f>E64/C64</f>
        <v>0.9</v>
      </c>
      <c r="E64" s="141">
        <f>SUM(E60:E63)</f>
        <v>1440000</v>
      </c>
      <c r="F64" s="7"/>
      <c r="H64" s="161" t="s">
        <v>210</v>
      </c>
      <c r="I64" s="162"/>
      <c r="J64" s="163">
        <f>J60*J63</f>
        <v>90750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200000</v>
      </c>
      <c r="D66" s="269">
        <v>0.9</v>
      </c>
      <c r="E66" s="141">
        <f aca="true" t="shared" si="8" ref="E66:E71">C66*D66</f>
        <v>180000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15000</v>
      </c>
      <c r="D67" s="269">
        <v>0.9</v>
      </c>
      <c r="E67" s="141">
        <f t="shared" si="8"/>
        <v>13500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25000</v>
      </c>
      <c r="D69" s="269">
        <v>0.5</v>
      </c>
      <c r="E69" s="141">
        <f t="shared" si="8"/>
        <v>12500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150000</v>
      </c>
      <c r="D70" s="269">
        <v>0.5</v>
      </c>
      <c r="E70" s="141">
        <f t="shared" si="8"/>
        <v>75000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50000</v>
      </c>
      <c r="D71" s="270">
        <v>0.9</v>
      </c>
      <c r="E71" s="146">
        <f t="shared" si="8"/>
        <v>45000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450000</v>
      </c>
      <c r="D72" s="271">
        <f>E72/C72</f>
        <v>0.7355555555555555</v>
      </c>
      <c r="E72" s="141">
        <f>SUM(E66:E71)</f>
        <v>331000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750000</v>
      </c>
      <c r="D74" s="269">
        <v>0.6</v>
      </c>
      <c r="E74" s="141">
        <f>C74*D74</f>
        <v>450000</v>
      </c>
      <c r="F74" s="7"/>
      <c r="H74" s="25" t="s">
        <v>230</v>
      </c>
      <c r="I74" s="26"/>
      <c r="J74" s="28">
        <v>0.5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100000</v>
      </c>
      <c r="D75" s="269">
        <v>0.75</v>
      </c>
      <c r="E75" s="141">
        <f>C75*D75</f>
        <v>75000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75000</v>
      </c>
      <c r="D76" s="269">
        <v>0.25</v>
      </c>
      <c r="E76" s="141">
        <f>C76*D76</f>
        <v>18750</v>
      </c>
      <c r="F76" s="7"/>
      <c r="H76" s="25" t="s">
        <v>234</v>
      </c>
      <c r="I76" s="26"/>
      <c r="J76" s="177">
        <f>C23*C26*1000/J75</f>
        <v>8425.531914893618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200000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101106.38297872341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1125000</v>
      </c>
      <c r="D78" s="271">
        <f>E78/C78</f>
        <v>0.48333333333333334</v>
      </c>
      <c r="E78" s="179">
        <f>SUM(E74:E77)</f>
        <v>543750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15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469133.6170212766</v>
      </c>
      <c r="D81" s="269">
        <v>0.75</v>
      </c>
      <c r="E81" s="141">
        <f>C81*D81</f>
        <v>351850.21276595746</v>
      </c>
      <c r="F81" s="7"/>
      <c r="H81" s="25" t="s">
        <v>242</v>
      </c>
      <c r="I81" s="26"/>
      <c r="J81" s="50">
        <v>7500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79.2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1519133.6170212766</v>
      </c>
      <c r="D83" s="271">
        <f>E83/C83</f>
        <v>0.2612345670712646</v>
      </c>
      <c r="E83" s="186">
        <f>SUM(E80:E82)</f>
        <v>396850.21276595746</v>
      </c>
      <c r="F83" s="7"/>
      <c r="H83" s="25" t="s">
        <v>245</v>
      </c>
      <c r="I83" s="26"/>
      <c r="J83" s="177">
        <f>J82*J80*24</f>
        <v>28512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10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106339.35319148937</v>
      </c>
      <c r="D85" s="193">
        <f>E85/C85</f>
        <v>0.26123456707126463</v>
      </c>
      <c r="E85" s="194">
        <f>$C$84*E83</f>
        <v>27779.514893617026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25000</v>
      </c>
      <c r="D87" s="269">
        <v>0.9</v>
      </c>
      <c r="E87" s="141">
        <f>C87*D87</f>
        <v>22500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25000</v>
      </c>
      <c r="D88" s="269">
        <v>0.75</v>
      </c>
      <c r="E88" s="141">
        <f>C88*D88</f>
        <v>18750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25000</v>
      </c>
      <c r="D89" s="269">
        <v>0.9</v>
      </c>
      <c r="E89" s="146">
        <f>C89*D89</f>
        <v>22500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75000</v>
      </c>
      <c r="D90" s="272">
        <f>E90/C90</f>
        <v>0.85</v>
      </c>
      <c r="E90" s="139">
        <f>SUM(E87:E89)</f>
        <v>63750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90750</v>
      </c>
      <c r="D92" s="267">
        <v>1</v>
      </c>
      <c r="E92" s="128">
        <f>C92*D92</f>
        <v>90750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Z55 Z52 I16 AA38">
      <formula1>$X$12:$AF$12</formula1>
    </dataValidation>
    <dataValidation type="list" allowBlank="1" showInputMessage="1" showErrorMessage="1" sqref="AA48 I26">
      <formula1>$X$15:$AD$15</formula1>
    </dataValidation>
    <dataValidation type="list" allowBlank="1" showInputMessage="1" showErrorMessage="1" sqref="AA31">
      <formula1>$X$7:$AA$7</formula1>
    </dataValidation>
    <dataValidation type="list" allowBlank="1" showInputMessage="1" showErrorMessage="1" sqref="AA32">
      <formula1>$X$8:$AA$8</formula1>
    </dataValidation>
    <dataValidation type="list" allowBlank="1" showInputMessage="1" showErrorMessage="1" sqref="AA33">
      <formula1>$X$10:$Z$10</formula1>
    </dataValidation>
    <dataValidation type="list" allowBlank="1" showInputMessage="1" showErrorMessage="1" sqref="AA34">
      <formula1>$X$11:$AF$11</formula1>
    </dataValidation>
    <dataValidation type="list" allowBlank="1" showInputMessage="1" showErrorMessage="1" sqref="AA42">
      <formula1>$X$13:$AC$13</formula1>
    </dataValidation>
    <dataValidation type="list" allowBlank="1" showInputMessage="1" showErrorMessage="1" sqref="AA43">
      <formula1>$X$14:$AD$14</formula1>
    </dataValidation>
    <dataValidation type="list" allowBlank="1" showInputMessage="1" showErrorMessage="1" sqref="AA49">
      <formula1>$X$16:$AE$16</formula1>
    </dataValidation>
    <dataValidation type="list" allowBlank="1" showInputMessage="1" showErrorMessage="1" sqref="I7">
      <formula1>$X$7:$AF$7</formula1>
    </dataValidation>
    <dataValidation type="list" allowBlank="1" showInputMessage="1" showErrorMessage="1" sqref="I8">
      <formula1>$X$9:$AB$9</formula1>
    </dataValidation>
    <dataValidation type="list" allowBlank="1" showInputMessage="1" showErrorMessage="1" sqref="I9">
      <formula1>$X$17:$AC$17</formula1>
    </dataValidation>
    <dataValidation type="list" allowBlank="1" showInputMessage="1" showErrorMessage="1" sqref="I10">
      <formula1>$X$18:$AD$18</formula1>
    </dataValidation>
    <dataValidation type="list" allowBlank="1" showInputMessage="1" showErrorMessage="1" sqref="I19:I20">
      <formula1>$X$19:$AE$19</formula1>
    </dataValidation>
    <dataValidation type="list" allowBlank="1" showInputMessage="1" showErrorMessage="1" sqref="I21:I23">
      <formula1>$X$20:$AD$20</formula1>
    </dataValidation>
    <dataValidation type="list" allowBlank="1" showInputMessage="1" showErrorMessage="1" sqref="I24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2" r:id="rId1"/>
  <headerFooter alignWithMargins="0"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7.140625" style="3" customWidth="1"/>
    <col min="8" max="8" width="16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4" width="23.8515625" style="3" customWidth="1"/>
    <col min="15" max="15" width="12.57421875" style="3" customWidth="1"/>
    <col min="16" max="16" width="10.28125" style="3" customWidth="1"/>
    <col min="17" max="17" width="17.00390625" style="3" bestFit="1" customWidth="1"/>
    <col min="18" max="18" width="12.2812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1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333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6</v>
      </c>
      <c r="D6" s="11"/>
      <c r="F6" s="15" t="s">
        <v>5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8</v>
      </c>
      <c r="G7" s="26"/>
      <c r="H7" s="27"/>
      <c r="I7" s="28" t="s">
        <v>9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20</v>
      </c>
      <c r="G8" s="26"/>
      <c r="H8" s="33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24</v>
      </c>
      <c r="G9" s="26"/>
      <c r="H9" s="33"/>
      <c r="I9" s="34" t="s">
        <v>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28</v>
      </c>
      <c r="G10" s="26"/>
      <c r="H10" s="33"/>
      <c r="I10" s="39" t="s">
        <v>29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F11" s="25" t="s">
        <v>35</v>
      </c>
      <c r="G11" s="26"/>
      <c r="H11" s="33"/>
      <c r="I11" s="41">
        <v>3800000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F12" s="25" t="s">
        <v>45</v>
      </c>
      <c r="G12" s="26"/>
      <c r="H12" s="33"/>
      <c r="I12" s="41">
        <v>2</v>
      </c>
      <c r="J12" s="7"/>
      <c r="K12" s="207" t="s">
        <v>319</v>
      </c>
      <c r="L12" s="26"/>
      <c r="M12" s="26"/>
      <c r="N12" s="245">
        <v>0</v>
      </c>
      <c r="O12" s="7"/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F13" s="25" t="s">
        <v>51</v>
      </c>
      <c r="G13" s="26"/>
      <c r="H13" s="33"/>
      <c r="I13" s="44" t="s">
        <v>256</v>
      </c>
      <c r="J13" s="7"/>
      <c r="K13" s="207" t="s">
        <v>320</v>
      </c>
      <c r="L13" s="26"/>
      <c r="M13" s="26"/>
      <c r="N13" s="245">
        <v>0</v>
      </c>
      <c r="O13" s="7"/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F14" s="25" t="s">
        <v>58</v>
      </c>
      <c r="G14" s="26"/>
      <c r="H14" s="33"/>
      <c r="I14" s="205" t="s">
        <v>257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F15" s="25" t="s">
        <v>65</v>
      </c>
      <c r="G15" s="26"/>
      <c r="H15" s="33"/>
      <c r="I15" s="47">
        <f>C23*C26/1000</f>
        <v>5070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F16" s="25" t="s">
        <v>46</v>
      </c>
      <c r="G16" s="26"/>
      <c r="H16" s="33"/>
      <c r="I16" s="44" t="s">
        <v>37</v>
      </c>
      <c r="J16" s="7"/>
      <c r="K16" s="285" t="s">
        <v>340</v>
      </c>
      <c r="L16" s="286"/>
      <c r="M16" s="286"/>
      <c r="N16" s="287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F17" s="25" t="s">
        <v>80</v>
      </c>
      <c r="G17" s="26"/>
      <c r="H17" s="33"/>
      <c r="I17" s="51">
        <v>540</v>
      </c>
      <c r="J17" s="7"/>
      <c r="K17" s="279" t="s">
        <v>336</v>
      </c>
      <c r="L17" s="280"/>
      <c r="M17" s="280"/>
      <c r="N17" s="281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F18" s="25" t="s">
        <v>85</v>
      </c>
      <c r="G18" s="26"/>
      <c r="H18" s="33"/>
      <c r="I18" s="53">
        <f>I11/I17/1000</f>
        <v>7.037037037037037</v>
      </c>
      <c r="J18" s="7"/>
      <c r="K18" s="279" t="s">
        <v>337</v>
      </c>
      <c r="L18" s="280"/>
      <c r="M18" s="280"/>
      <c r="N18" s="281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29</v>
      </c>
      <c r="AB18" s="37" t="s">
        <v>44</v>
      </c>
      <c r="AC18" s="37" t="s">
        <v>22</v>
      </c>
      <c r="AD18" s="37" t="s">
        <v>33</v>
      </c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F19" s="25" t="s">
        <v>90</v>
      </c>
      <c r="G19" s="26"/>
      <c r="H19" s="33"/>
      <c r="I19" s="51" t="s">
        <v>91</v>
      </c>
      <c r="J19" s="7"/>
      <c r="K19" s="279" t="s">
        <v>334</v>
      </c>
      <c r="L19" s="280"/>
      <c r="M19" s="280"/>
      <c r="N19" s="281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2004</v>
      </c>
      <c r="D20" s="7"/>
      <c r="F20" s="25" t="s">
        <v>96</v>
      </c>
      <c r="H20" s="56"/>
      <c r="I20" s="51" t="s">
        <v>64</v>
      </c>
      <c r="J20" s="7"/>
      <c r="K20" s="279" t="s">
        <v>341</v>
      </c>
      <c r="L20" s="280"/>
      <c r="M20" s="280"/>
      <c r="N20" s="281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F21" s="25" t="s">
        <v>103</v>
      </c>
      <c r="G21" s="26"/>
      <c r="H21" s="33"/>
      <c r="I21" s="51" t="s">
        <v>98</v>
      </c>
      <c r="J21" s="7"/>
      <c r="K21" s="279" t="s">
        <v>335</v>
      </c>
      <c r="L21" s="280"/>
      <c r="M21" s="280"/>
      <c r="N21" s="281"/>
      <c r="W21" s="57" t="s">
        <v>104</v>
      </c>
      <c r="X21" s="58" t="s">
        <v>99</v>
      </c>
      <c r="Y21" s="58" t="s">
        <v>258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3</v>
      </c>
      <c r="D22" s="7"/>
      <c r="F22" s="25" t="s">
        <v>107</v>
      </c>
      <c r="H22" s="56"/>
      <c r="I22" s="51" t="s">
        <v>101</v>
      </c>
      <c r="J22" s="7"/>
      <c r="K22" s="279" t="s">
        <v>339</v>
      </c>
      <c r="L22" s="280"/>
      <c r="M22" s="280"/>
      <c r="N22" s="28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9750</v>
      </c>
      <c r="D23" s="7"/>
      <c r="F23" s="25" t="s">
        <v>109</v>
      </c>
      <c r="H23" s="56"/>
      <c r="I23" s="51" t="s">
        <v>100</v>
      </c>
      <c r="J23" s="7"/>
      <c r="K23" s="282" t="s">
        <v>338</v>
      </c>
      <c r="L23" s="283"/>
      <c r="M23" s="283"/>
      <c r="N23" s="284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800</v>
      </c>
      <c r="D24" s="7"/>
      <c r="F24" s="25" t="s">
        <v>104</v>
      </c>
      <c r="G24" s="26"/>
      <c r="H24" s="33"/>
      <c r="I24" s="51" t="s">
        <v>258</v>
      </c>
      <c r="J24" s="7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64">
        <f>C24*1000/C26</f>
        <v>1538.4615384615386</v>
      </c>
      <c r="D25" s="7"/>
      <c r="F25" s="25" t="s">
        <v>113</v>
      </c>
      <c r="G25" s="26"/>
      <c r="H25" s="33"/>
      <c r="I25" s="41">
        <v>1</v>
      </c>
      <c r="J25" s="7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520</v>
      </c>
      <c r="D26" s="7"/>
      <c r="F26" s="67" t="s">
        <v>116</v>
      </c>
      <c r="G26" s="68"/>
      <c r="H26" s="69"/>
      <c r="I26" s="70" t="s">
        <v>67</v>
      </c>
      <c r="J26" s="7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520</v>
      </c>
      <c r="D28" s="7"/>
      <c r="J28" s="7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 thickBot="1">
      <c r="A29" s="1">
        <f t="shared" si="0"/>
        <v>29</v>
      </c>
      <c r="B29" s="49" t="s">
        <v>121</v>
      </c>
      <c r="C29" s="75">
        <f>B34</f>
        <v>62.92417631701037</v>
      </c>
      <c r="D29" s="7"/>
      <c r="E29" s="76"/>
      <c r="J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62.92417631701037</v>
      </c>
      <c r="D30" s="7"/>
      <c r="J30" s="7"/>
      <c r="W30" s="15" t="s">
        <v>123</v>
      </c>
      <c r="X30" s="16"/>
      <c r="Y30" s="17"/>
      <c r="Z30" s="16"/>
      <c r="AA30" s="1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W31" s="25" t="s">
        <v>124</v>
      </c>
      <c r="X31" s="26"/>
      <c r="Y31" s="79"/>
      <c r="Z31" s="81"/>
      <c r="AA31" s="28" t="s">
        <v>11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W32" s="25" t="s">
        <v>126</v>
      </c>
      <c r="X32" s="26"/>
      <c r="Y32" s="79"/>
      <c r="Z32" s="85"/>
      <c r="AA32" s="34" t="s">
        <v>22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W33" s="25" t="s">
        <v>137</v>
      </c>
      <c r="X33" s="26"/>
      <c r="Y33" s="79"/>
      <c r="Z33" s="85"/>
      <c r="AA33" s="34" t="s">
        <v>31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62.92417631701037</v>
      </c>
      <c r="C34" s="91">
        <v>1.1</v>
      </c>
      <c r="D34" s="92">
        <f>J38</f>
        <v>18.805479452054794</v>
      </c>
      <c r="E34" s="92">
        <f>J39</f>
        <v>4.906626924149283</v>
      </c>
      <c r="F34" s="92">
        <f>J40</f>
        <v>16.359325605900946</v>
      </c>
      <c r="G34" s="92">
        <f>J41</f>
        <v>3.7302423603793464</v>
      </c>
      <c r="H34" s="92">
        <f>J42</f>
        <v>11.591148577449946</v>
      </c>
      <c r="I34" s="92">
        <f>J43</f>
        <v>0.9895348967558236</v>
      </c>
      <c r="J34" s="92">
        <f>J44</f>
        <v>0.6717597471022129</v>
      </c>
      <c r="K34" s="93">
        <f>J45</f>
        <v>0.16464699683877765</v>
      </c>
      <c r="W34" s="25" t="s">
        <v>138</v>
      </c>
      <c r="X34" s="26"/>
      <c r="Y34" s="79"/>
      <c r="Z34" s="85"/>
      <c r="AA34" s="34" t="s">
        <v>37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W35" s="25" t="s">
        <v>139</v>
      </c>
      <c r="X35" s="26"/>
      <c r="Y35" s="79"/>
      <c r="Z35" s="85"/>
      <c r="AA35" s="39" t="s">
        <v>140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R36" s="79"/>
      <c r="W36" s="25" t="s">
        <v>142</v>
      </c>
      <c r="X36" s="26"/>
      <c r="Y36" s="79"/>
      <c r="Z36" s="85"/>
      <c r="AA36" s="51">
        <v>171.7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R37" s="79"/>
      <c r="W37" s="25" t="s">
        <v>152</v>
      </c>
      <c r="X37" s="26"/>
      <c r="Y37" s="79"/>
      <c r="Z37" s="85"/>
      <c r="AA37" s="41">
        <v>2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4102800</v>
      </c>
      <c r="D38" s="104">
        <f aca="true" t="shared" si="1" ref="D38:D45">C38/$C$26</f>
        <v>7890</v>
      </c>
      <c r="E38" s="105">
        <f aca="true" t="shared" si="2" ref="E38:E45">C38/$C$26/365</f>
        <v>21.616438356164384</v>
      </c>
      <c r="F38" s="106">
        <f>C38-H38</f>
        <v>533520</v>
      </c>
      <c r="G38" s="107">
        <f aca="true" t="shared" si="3" ref="G38:G45">IF(C38=0,0,H38/C38)</f>
        <v>0.8699619771863117</v>
      </c>
      <c r="H38" s="103">
        <f>E49</f>
        <v>3569280</v>
      </c>
      <c r="I38" s="108">
        <f aca="true" t="shared" si="4" ref="I38:I45">H38/$C$26</f>
        <v>6864</v>
      </c>
      <c r="J38" s="109">
        <f aca="true" t="shared" si="5" ref="J38:J45">H38/$C$26/365</f>
        <v>18.805479452054794</v>
      </c>
      <c r="K38" s="7"/>
      <c r="L38" s="7"/>
      <c r="R38" s="79"/>
      <c r="W38" s="25" t="s">
        <v>46</v>
      </c>
      <c r="X38" s="26"/>
      <c r="Y38" s="79"/>
      <c r="Z38" s="85"/>
      <c r="AA38" s="44" t="s">
        <v>37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1099500</v>
      </c>
      <c r="D39" s="104">
        <f t="shared" si="1"/>
        <v>2114.423076923077</v>
      </c>
      <c r="E39" s="105">
        <f t="shared" si="2"/>
        <v>5.792939936775554</v>
      </c>
      <c r="F39" s="106">
        <f>C39-H39</f>
        <v>168222.20979646617</v>
      </c>
      <c r="G39" s="110">
        <f t="shared" si="3"/>
        <v>0.8470011734456879</v>
      </c>
      <c r="H39" s="103">
        <f>E58</f>
        <v>931277.7902035338</v>
      </c>
      <c r="I39" s="104">
        <f t="shared" si="4"/>
        <v>1790.9188273144882</v>
      </c>
      <c r="J39" s="109">
        <f t="shared" si="5"/>
        <v>4.906626924149283</v>
      </c>
      <c r="K39" s="7"/>
      <c r="L39" s="7"/>
      <c r="R39" s="79"/>
      <c r="W39" s="25" t="s">
        <v>80</v>
      </c>
      <c r="X39" s="26"/>
      <c r="Y39" s="79"/>
      <c r="Z39" s="85"/>
      <c r="AA39" s="51">
        <v>200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3450000</v>
      </c>
      <c r="D40" s="104">
        <f t="shared" si="1"/>
        <v>6634.615384615385</v>
      </c>
      <c r="E40" s="105">
        <f t="shared" si="2"/>
        <v>18.177028451001053</v>
      </c>
      <c r="F40" s="106">
        <f>C40-H40</f>
        <v>345000</v>
      </c>
      <c r="G40" s="110">
        <f t="shared" si="3"/>
        <v>0.9</v>
      </c>
      <c r="H40" s="103">
        <f>E64</f>
        <v>3105000</v>
      </c>
      <c r="I40" s="104">
        <f t="shared" si="4"/>
        <v>5971.153846153846</v>
      </c>
      <c r="J40" s="109">
        <f t="shared" si="5"/>
        <v>16.359325605900946</v>
      </c>
      <c r="K40" s="7"/>
      <c r="L40" s="7"/>
      <c r="R40" s="79"/>
      <c r="W40" s="25" t="s">
        <v>113</v>
      </c>
      <c r="X40" s="26"/>
      <c r="Y40" s="79"/>
      <c r="Z40" s="85"/>
      <c r="AA40" s="41">
        <v>1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920000</v>
      </c>
      <c r="D41" s="104">
        <f t="shared" si="1"/>
        <v>1769.2307692307693</v>
      </c>
      <c r="E41" s="105">
        <f t="shared" si="2"/>
        <v>4.847207586933615</v>
      </c>
      <c r="F41" s="106">
        <f>C41-H41</f>
        <v>212000</v>
      </c>
      <c r="G41" s="110">
        <f t="shared" si="3"/>
        <v>0.7695652173913043</v>
      </c>
      <c r="H41" s="103">
        <f>E72</f>
        <v>708000</v>
      </c>
      <c r="I41" s="104">
        <f t="shared" si="4"/>
        <v>1361.5384615384614</v>
      </c>
      <c r="J41" s="109">
        <f t="shared" si="5"/>
        <v>3.7302423603793464</v>
      </c>
      <c r="K41" s="7"/>
      <c r="L41" s="7"/>
      <c r="R41" s="79"/>
      <c r="W41" s="25" t="s">
        <v>157</v>
      </c>
      <c r="X41" s="26"/>
      <c r="Y41" s="79"/>
      <c r="Z41" s="85"/>
      <c r="AA41" s="51">
        <v>30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4200000</v>
      </c>
      <c r="D42" s="104">
        <f t="shared" si="1"/>
        <v>8076.923076923077</v>
      </c>
      <c r="E42" s="105">
        <f t="shared" si="2"/>
        <v>22.12855637513172</v>
      </c>
      <c r="F42" s="106">
        <f>C78-E78</f>
        <v>2000000</v>
      </c>
      <c r="G42" s="110">
        <f t="shared" si="3"/>
        <v>0.5238095238095238</v>
      </c>
      <c r="H42" s="103">
        <f>E78</f>
        <v>2200000</v>
      </c>
      <c r="I42" s="104">
        <f t="shared" si="4"/>
        <v>4230.7692307692305</v>
      </c>
      <c r="J42" s="109">
        <f t="shared" si="5"/>
        <v>11.591148577449946</v>
      </c>
      <c r="K42" s="7"/>
      <c r="L42" s="7"/>
      <c r="R42" s="79"/>
      <c r="W42" s="25" t="s">
        <v>159</v>
      </c>
      <c r="X42" s="26"/>
      <c r="Y42" s="79"/>
      <c r="Z42" s="85"/>
      <c r="AA42" s="41" t="s">
        <v>54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473918.2978723404</v>
      </c>
      <c r="D43" s="104">
        <f t="shared" si="1"/>
        <v>911.3813420621931</v>
      </c>
      <c r="E43" s="105">
        <f t="shared" si="2"/>
        <v>2.496935183732036</v>
      </c>
      <c r="F43" s="106">
        <f>C43-H43</f>
        <v>286104.5744680851</v>
      </c>
      <c r="G43" s="110">
        <f t="shared" si="3"/>
        <v>0.3962997931235117</v>
      </c>
      <c r="H43" s="103">
        <f>E85</f>
        <v>187813.72340425532</v>
      </c>
      <c r="I43" s="104">
        <f t="shared" si="4"/>
        <v>361.1802373158756</v>
      </c>
      <c r="J43" s="109">
        <f t="shared" si="5"/>
        <v>0.9895348967558236</v>
      </c>
      <c r="K43" s="7"/>
      <c r="L43" s="7"/>
      <c r="R43" s="79"/>
      <c r="W43" s="25" t="s">
        <v>161</v>
      </c>
      <c r="X43" s="26"/>
      <c r="Y43" s="79"/>
      <c r="Z43" s="85"/>
      <c r="AA43" s="41" t="s">
        <v>61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150000</v>
      </c>
      <c r="D44" s="104">
        <f t="shared" si="1"/>
        <v>288.46153846153845</v>
      </c>
      <c r="E44" s="105">
        <f t="shared" si="2"/>
        <v>0.7903055848261328</v>
      </c>
      <c r="F44" s="106">
        <f>C44-H44</f>
        <v>22500</v>
      </c>
      <c r="G44" s="110">
        <f t="shared" si="3"/>
        <v>0.85</v>
      </c>
      <c r="H44" s="103">
        <f>E90</f>
        <v>127500</v>
      </c>
      <c r="I44" s="104">
        <f t="shared" si="4"/>
        <v>245.19230769230768</v>
      </c>
      <c r="J44" s="109">
        <f t="shared" si="5"/>
        <v>0.6717597471022129</v>
      </c>
      <c r="K44" s="7"/>
      <c r="L44" s="7"/>
      <c r="R44" s="79"/>
      <c r="W44" s="25" t="s">
        <v>163</v>
      </c>
      <c r="X44" s="26"/>
      <c r="Y44" s="79"/>
      <c r="Z44" s="85"/>
      <c r="AA44" s="44" t="s">
        <v>164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31250</v>
      </c>
      <c r="D45" s="113">
        <f t="shared" si="1"/>
        <v>60.09615384615385</v>
      </c>
      <c r="E45" s="114">
        <f t="shared" si="2"/>
        <v>0.16464699683877765</v>
      </c>
      <c r="F45" s="112">
        <f>C45-H45</f>
        <v>0</v>
      </c>
      <c r="G45" s="115">
        <f t="shared" si="3"/>
        <v>1</v>
      </c>
      <c r="H45" s="116">
        <f>E92</f>
        <v>31250</v>
      </c>
      <c r="I45" s="113">
        <f t="shared" si="4"/>
        <v>60.09615384615385</v>
      </c>
      <c r="J45" s="117">
        <f t="shared" si="5"/>
        <v>0.16464699683877765</v>
      </c>
      <c r="K45" s="7"/>
      <c r="L45" s="7"/>
      <c r="R45" s="79"/>
      <c r="W45" s="25" t="s">
        <v>166</v>
      </c>
      <c r="X45" s="26"/>
      <c r="Y45" s="79"/>
      <c r="Z45" s="85"/>
      <c r="AA45" s="44" t="s">
        <v>167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14427468.29787234</v>
      </c>
      <c r="D46" s="119">
        <f>SUM(D38:D45)</f>
        <v>27745.131342062192</v>
      </c>
      <c r="E46" s="120">
        <f>SUM(E38:E45)</f>
        <v>76.01405847140327</v>
      </c>
      <c r="F46" s="119">
        <f>SUM(F38:F45)</f>
        <v>3567346.784264551</v>
      </c>
      <c r="G46" s="121">
        <f>H46/C46</f>
        <v>0.7527392394415701</v>
      </c>
      <c r="H46" s="118">
        <f>SUM(H38:H45)</f>
        <v>10860121.513607789</v>
      </c>
      <c r="I46" s="118">
        <f>SUM(I38:I45)</f>
        <v>20884.84906463036</v>
      </c>
      <c r="J46" s="122">
        <f>SUM(J38:J45)</f>
        <v>57.21876456063113</v>
      </c>
      <c r="K46" s="7"/>
      <c r="L46" s="7"/>
      <c r="R46" s="79"/>
      <c r="W46" s="25" t="s">
        <v>169</v>
      </c>
      <c r="X46" s="26"/>
      <c r="Y46" s="79"/>
      <c r="Z46" s="85"/>
      <c r="AA46" s="44" t="s">
        <v>59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R47" s="79"/>
      <c r="W47" s="25" t="s">
        <v>170</v>
      </c>
      <c r="X47" s="7"/>
      <c r="Y47" s="7"/>
      <c r="Z47" s="85"/>
      <c r="AA47" s="44" t="s">
        <v>59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27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R48" s="79"/>
      <c r="W48" s="25" t="s">
        <v>66</v>
      </c>
      <c r="X48" s="26"/>
      <c r="Y48" s="79"/>
      <c r="Z48" s="85"/>
      <c r="AA48" s="126" t="s">
        <v>67</v>
      </c>
    </row>
    <row r="49" spans="1:27" ht="12.75" customHeight="1" thickBot="1">
      <c r="A49" s="1">
        <f t="shared" si="0"/>
        <v>49</v>
      </c>
      <c r="B49" s="67" t="s">
        <v>174</v>
      </c>
      <c r="C49" s="247">
        <v>4102800</v>
      </c>
      <c r="D49" s="267">
        <v>0.8699619771863117</v>
      </c>
      <c r="E49" s="141">
        <f aca="true" t="shared" si="6" ref="E49:E57">C49*D49</f>
        <v>3569280</v>
      </c>
      <c r="F49" s="240">
        <v>53</v>
      </c>
      <c r="G49" s="241">
        <f>C49/F49</f>
        <v>77411.32075471699</v>
      </c>
      <c r="H49" s="25" t="s">
        <v>175</v>
      </c>
      <c r="I49" s="81"/>
      <c r="J49" s="129">
        <v>250000</v>
      </c>
      <c r="K49" s="7"/>
      <c r="L49" s="7"/>
      <c r="M49" s="7"/>
      <c r="N49" s="7"/>
      <c r="O49" s="7"/>
      <c r="P49" s="7"/>
      <c r="Q49" s="130"/>
      <c r="R49" s="130"/>
      <c r="W49" s="25" t="s">
        <v>176</v>
      </c>
      <c r="X49" s="26"/>
      <c r="Y49" s="79"/>
      <c r="Z49" s="85"/>
      <c r="AA49" s="131" t="s">
        <v>73</v>
      </c>
    </row>
    <row r="50" spans="1:27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>
        <v>0</v>
      </c>
      <c r="K50" s="7"/>
      <c r="L50" s="9"/>
      <c r="M50" s="132"/>
      <c r="N50" s="133"/>
      <c r="O50" s="132"/>
      <c r="P50" s="134"/>
      <c r="Q50" s="133"/>
      <c r="R50" s="133"/>
      <c r="W50" s="67" t="s">
        <v>179</v>
      </c>
      <c r="X50" s="68"/>
      <c r="Y50" s="135"/>
      <c r="Z50" s="136"/>
      <c r="AA50" s="137" t="s">
        <v>59</v>
      </c>
    </row>
    <row r="51" spans="1:26" ht="12.75" customHeight="1" thickBot="1">
      <c r="A51" s="1">
        <f t="shared" si="0"/>
        <v>51</v>
      </c>
      <c r="B51" s="138" t="s">
        <v>180</v>
      </c>
      <c r="C51" s="175">
        <v>739500</v>
      </c>
      <c r="D51" s="268">
        <v>0.8431372549019608</v>
      </c>
      <c r="E51" s="141">
        <f t="shared" si="6"/>
        <v>623500</v>
      </c>
      <c r="F51" s="240">
        <v>7</v>
      </c>
      <c r="G51" s="241">
        <f>C51/F51</f>
        <v>105642.85714285714</v>
      </c>
      <c r="H51" s="25" t="s">
        <v>181</v>
      </c>
      <c r="I51" s="85"/>
      <c r="J51" s="129">
        <v>0</v>
      </c>
      <c r="K51" s="7"/>
      <c r="L51" s="9"/>
      <c r="M51" s="132"/>
      <c r="N51" s="133"/>
      <c r="O51" s="132"/>
      <c r="P51" s="134"/>
      <c r="Q51" s="133"/>
      <c r="R51" s="133"/>
      <c r="W51" s="15" t="s">
        <v>182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60000</v>
      </c>
      <c r="D52" s="269">
        <v>0.8699619771863117</v>
      </c>
      <c r="E52" s="141">
        <f t="shared" si="6"/>
        <v>52197.7186311787</v>
      </c>
      <c r="F52" s="7"/>
      <c r="H52" s="25" t="s">
        <v>184</v>
      </c>
      <c r="I52" s="85"/>
      <c r="J52" s="129">
        <v>0</v>
      </c>
      <c r="K52" s="7"/>
      <c r="L52" s="9"/>
      <c r="M52" s="132"/>
      <c r="N52" s="133"/>
      <c r="O52" s="132"/>
      <c r="P52" s="134"/>
      <c r="Q52" s="133"/>
      <c r="R52" s="133"/>
      <c r="W52" s="25" t="s">
        <v>185</v>
      </c>
      <c r="X52" s="26"/>
      <c r="Y52" s="33"/>
      <c r="Z52" s="34" t="s">
        <v>49</v>
      </c>
    </row>
    <row r="53" spans="1:26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>
        <v>0</v>
      </c>
      <c r="K53" s="7"/>
      <c r="L53" s="9"/>
      <c r="M53" s="132"/>
      <c r="N53" s="133"/>
      <c r="O53" s="132"/>
      <c r="P53" s="134"/>
      <c r="Q53" s="133"/>
      <c r="R53" s="133"/>
      <c r="W53" s="25" t="s">
        <v>188</v>
      </c>
      <c r="X53" s="26"/>
      <c r="Y53" s="33"/>
      <c r="Z53" s="142">
        <v>1</v>
      </c>
    </row>
    <row r="54" spans="1:26" ht="12.75" customHeight="1">
      <c r="A54" s="1">
        <f t="shared" si="0"/>
        <v>54</v>
      </c>
      <c r="B54" s="25" t="s">
        <v>189</v>
      </c>
      <c r="C54" s="140">
        <v>60000</v>
      </c>
      <c r="D54" s="269">
        <v>0.8699619771863117</v>
      </c>
      <c r="E54" s="141">
        <f t="shared" si="6"/>
        <v>52197.7186311787</v>
      </c>
      <c r="F54" s="7"/>
      <c r="H54" s="25" t="s">
        <v>190</v>
      </c>
      <c r="I54" s="85"/>
      <c r="J54" s="129">
        <v>0</v>
      </c>
      <c r="K54" s="7"/>
      <c r="L54" s="9"/>
      <c r="M54" s="132"/>
      <c r="N54" s="133"/>
      <c r="O54" s="132"/>
      <c r="P54" s="134"/>
      <c r="Q54" s="133"/>
      <c r="R54" s="133"/>
      <c r="W54" s="25" t="s">
        <v>191</v>
      </c>
      <c r="X54" s="26"/>
      <c r="Y54" s="33"/>
      <c r="Z54" s="51">
        <v>20</v>
      </c>
    </row>
    <row r="55" spans="1:26" ht="12.75" customHeight="1">
      <c r="A55" s="1">
        <f t="shared" si="0"/>
        <v>55</v>
      </c>
      <c r="B55" s="25" t="s">
        <v>192</v>
      </c>
      <c r="C55" s="140">
        <v>30000</v>
      </c>
      <c r="D55" s="269">
        <v>0.8431372549019608</v>
      </c>
      <c r="E55" s="141">
        <f t="shared" si="6"/>
        <v>25294.117647058825</v>
      </c>
      <c r="F55" s="7"/>
      <c r="H55" s="25" t="s">
        <v>193</v>
      </c>
      <c r="I55" s="85"/>
      <c r="J55" s="129">
        <v>0</v>
      </c>
      <c r="K55" s="7"/>
      <c r="L55" s="9"/>
      <c r="M55" s="132"/>
      <c r="N55" s="133"/>
      <c r="O55" s="132"/>
      <c r="P55" s="134"/>
      <c r="Q55" s="133"/>
      <c r="R55" s="133"/>
      <c r="W55" s="25" t="s">
        <v>194</v>
      </c>
      <c r="X55" s="26"/>
      <c r="Y55" s="33"/>
      <c r="Z55" s="34" t="s">
        <v>49</v>
      </c>
    </row>
    <row r="56" spans="1:26" ht="12.75" customHeight="1" thickBot="1">
      <c r="A56" s="1">
        <f t="shared" si="0"/>
        <v>56</v>
      </c>
      <c r="B56" s="25" t="s">
        <v>195</v>
      </c>
      <c r="C56" s="140">
        <v>60000</v>
      </c>
      <c r="D56" s="269">
        <v>0.8431372549019608</v>
      </c>
      <c r="E56" s="141">
        <f t="shared" si="6"/>
        <v>50588.23529411765</v>
      </c>
      <c r="F56" s="7"/>
      <c r="H56" s="25" t="s">
        <v>196</v>
      </c>
      <c r="I56" s="85"/>
      <c r="J56" s="129">
        <v>0</v>
      </c>
      <c r="K56" s="7"/>
      <c r="L56" s="9"/>
      <c r="M56" s="132"/>
      <c r="N56" s="133"/>
      <c r="O56" s="132"/>
      <c r="P56" s="134"/>
      <c r="Q56" s="133"/>
      <c r="R56" s="133"/>
      <c r="W56" s="67" t="s">
        <v>197</v>
      </c>
      <c r="X56" s="68"/>
      <c r="Y56" s="69"/>
      <c r="Z56" s="143">
        <v>1</v>
      </c>
    </row>
    <row r="57" spans="1:18" ht="12.75" customHeight="1">
      <c r="A57" s="1">
        <f t="shared" si="0"/>
        <v>57</v>
      </c>
      <c r="B57" s="144" t="s">
        <v>198</v>
      </c>
      <c r="C57" s="145">
        <v>100000</v>
      </c>
      <c r="D57" s="270">
        <v>0.9</v>
      </c>
      <c r="E57" s="146">
        <f t="shared" si="6"/>
        <v>90000</v>
      </c>
      <c r="F57" s="7"/>
      <c r="H57" s="25" t="s">
        <v>199</v>
      </c>
      <c r="I57" s="85"/>
      <c r="J57" s="129">
        <v>0</v>
      </c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1099500</v>
      </c>
      <c r="D58" s="271">
        <f>E58/C58</f>
        <v>0.8470011734456879</v>
      </c>
      <c r="E58" s="141">
        <f>SUM(E51:E57)</f>
        <v>931277.7902035338</v>
      </c>
      <c r="F58" s="7"/>
      <c r="H58" s="149" t="s">
        <v>200</v>
      </c>
      <c r="I58" s="33"/>
      <c r="J58" s="129">
        <v>0</v>
      </c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>
        <v>0</v>
      </c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2000000</v>
      </c>
      <c r="D60" s="269">
        <v>0.9</v>
      </c>
      <c r="E60" s="141">
        <f>C60*D60</f>
        <v>1800000</v>
      </c>
      <c r="F60" s="7"/>
      <c r="H60" s="153" t="s">
        <v>204</v>
      </c>
      <c r="I60" s="154"/>
      <c r="J60" s="155">
        <f>SUM(J49:J59)</f>
        <v>250000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1250000</v>
      </c>
      <c r="D61" s="269">
        <v>0.9</v>
      </c>
      <c r="E61" s="141">
        <f>C61*D61</f>
        <v>1125000</v>
      </c>
      <c r="F61" s="7"/>
      <c r="H61" s="25" t="s">
        <v>106</v>
      </c>
      <c r="I61" s="26"/>
      <c r="J61" s="157">
        <f>C22</f>
        <v>3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100000</v>
      </c>
      <c r="D62" s="269">
        <v>0.9</v>
      </c>
      <c r="E62" s="141">
        <f>C62*D62</f>
        <v>90000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100000</v>
      </c>
      <c r="D63" s="270">
        <v>0.9</v>
      </c>
      <c r="E63" s="146">
        <f>C63*D63</f>
        <v>90000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3450000</v>
      </c>
      <c r="D64" s="271">
        <f>E64/C64</f>
        <v>0.9</v>
      </c>
      <c r="E64" s="141">
        <f>SUM(E60:E63)</f>
        <v>3105000</v>
      </c>
      <c r="F64" s="7"/>
      <c r="H64" s="161" t="s">
        <v>210</v>
      </c>
      <c r="I64" s="162"/>
      <c r="J64" s="163">
        <f>J60*J63</f>
        <v>31250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500000</v>
      </c>
      <c r="D66" s="269">
        <v>0.9</v>
      </c>
      <c r="E66" s="141">
        <f aca="true" t="shared" si="8" ref="E66:E71">C66*D66</f>
        <v>450000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20000</v>
      </c>
      <c r="D67" s="269">
        <v>0.9</v>
      </c>
      <c r="E67" s="141">
        <f t="shared" si="8"/>
        <v>18000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25000</v>
      </c>
      <c r="D68" s="269">
        <v>0.5</v>
      </c>
      <c r="E68" s="141">
        <f t="shared" si="8"/>
        <v>12500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25000</v>
      </c>
      <c r="D69" s="269">
        <v>0.5</v>
      </c>
      <c r="E69" s="141">
        <f t="shared" si="8"/>
        <v>12500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250000</v>
      </c>
      <c r="D70" s="269">
        <v>0.5</v>
      </c>
      <c r="E70" s="141">
        <f t="shared" si="8"/>
        <v>125000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100000</v>
      </c>
      <c r="D71" s="270">
        <v>0.9</v>
      </c>
      <c r="E71" s="146">
        <f t="shared" si="8"/>
        <v>90000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920000</v>
      </c>
      <c r="D72" s="271">
        <f>E72/C72</f>
        <v>0.7695652173913043</v>
      </c>
      <c r="E72" s="141">
        <f>SUM(E66:E71)</f>
        <v>708000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3500000</v>
      </c>
      <c r="D74" s="269">
        <v>0.6</v>
      </c>
      <c r="E74" s="141">
        <f>C74*D74</f>
        <v>2100000</v>
      </c>
      <c r="F74" s="7"/>
      <c r="H74" s="25" t="s">
        <v>230</v>
      </c>
      <c r="I74" s="26"/>
      <c r="J74" s="28">
        <v>0.5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100000</v>
      </c>
      <c r="D75" s="269">
        <v>0.75</v>
      </c>
      <c r="E75" s="141">
        <f>C75*D75</f>
        <v>75000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35957.44680851064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500000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431489.36170212773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4200000</v>
      </c>
      <c r="D78" s="271">
        <f>E78/C78</f>
        <v>0.5238095238095238</v>
      </c>
      <c r="E78" s="179">
        <f>SUM(E74:E77)</f>
        <v>2200000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3000000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30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3218910.6382978726</v>
      </c>
      <c r="D81" s="269">
        <v>0.75</v>
      </c>
      <c r="E81" s="141">
        <f>C81*D81</f>
        <v>2414182.9787234045</v>
      </c>
      <c r="F81" s="7"/>
      <c r="H81" s="25" t="s">
        <v>242</v>
      </c>
      <c r="I81" s="26"/>
      <c r="J81" s="50">
        <v>7500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100000</v>
      </c>
      <c r="D82" s="270">
        <v>0.9</v>
      </c>
      <c r="E82" s="146">
        <f>C82*D82</f>
        <v>90000</v>
      </c>
      <c r="F82" s="7"/>
      <c r="H82" s="25" t="s">
        <v>244</v>
      </c>
      <c r="I82" s="26"/>
      <c r="J82" s="183">
        <f>C26*C23*1000/J81/2000</f>
        <v>338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6318910.638297873</v>
      </c>
      <c r="D83" s="271">
        <f>E83/C83</f>
        <v>0.39629979312351177</v>
      </c>
      <c r="E83" s="186">
        <f>SUM(E80:E82)</f>
        <v>2504182.9787234045</v>
      </c>
      <c r="F83" s="7"/>
      <c r="H83" s="25" t="s">
        <v>245</v>
      </c>
      <c r="I83" s="26"/>
      <c r="J83" s="177">
        <f>J82*J80*24</f>
        <v>243360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0.075</v>
      </c>
      <c r="D84" s="274"/>
      <c r="E84" s="190"/>
      <c r="F84" s="7"/>
      <c r="H84" s="67" t="s">
        <v>247</v>
      </c>
      <c r="I84" s="68"/>
      <c r="J84" s="180">
        <v>10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473918.2978723404</v>
      </c>
      <c r="D85" s="273">
        <f>E85/C85</f>
        <v>0.3962997931235117</v>
      </c>
      <c r="E85" s="194">
        <f>$C$84*E83</f>
        <v>187813.72340425532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50000</v>
      </c>
      <c r="D87" s="269">
        <v>0.9</v>
      </c>
      <c r="E87" s="141">
        <f>C87*D87</f>
        <v>45000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50000</v>
      </c>
      <c r="D88" s="269">
        <v>0.75</v>
      </c>
      <c r="E88" s="141">
        <f>C88*D88</f>
        <v>37500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50000</v>
      </c>
      <c r="D89" s="269">
        <v>0.9</v>
      </c>
      <c r="E89" s="146">
        <f>C89*D89</f>
        <v>45000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150000</v>
      </c>
      <c r="D90" s="272">
        <f>E90/C90</f>
        <v>0.85</v>
      </c>
      <c r="E90" s="139">
        <f>SUM(E87:E89)</f>
        <v>127500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31250</v>
      </c>
      <c r="D92" s="267">
        <v>1</v>
      </c>
      <c r="E92" s="128">
        <f>C92*D92</f>
        <v>31250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Z55 Z52 I16 AA38">
      <formula1>$X$12:$AF$12</formula1>
    </dataValidation>
    <dataValidation type="list" allowBlank="1" showInputMessage="1" showErrorMessage="1" sqref="AA48 I26">
      <formula1>$X$15:$AD$15</formula1>
    </dataValidation>
    <dataValidation type="list" allowBlank="1" showInputMessage="1" showErrorMessage="1" sqref="AA31">
      <formula1>$X$7:$AA$7</formula1>
    </dataValidation>
    <dataValidation type="list" allowBlank="1" showInputMessage="1" showErrorMessage="1" sqref="AA32">
      <formula1>$X$8:$AA$8</formula1>
    </dataValidation>
    <dataValidation type="list" allowBlank="1" showInputMessage="1" showErrorMessage="1" sqref="AA33">
      <formula1>$X$10:$Z$10</formula1>
    </dataValidation>
    <dataValidation type="list" allowBlank="1" showInputMessage="1" showErrorMessage="1" sqref="AA34">
      <formula1>$X$11:$AF$11</formula1>
    </dataValidation>
    <dataValidation type="list" allowBlank="1" showInputMessage="1" showErrorMessage="1" sqref="AA42">
      <formula1>$X$13:$AC$13</formula1>
    </dataValidation>
    <dataValidation type="list" allowBlank="1" showInputMessage="1" showErrorMessage="1" sqref="AA43">
      <formula1>$X$14:$AD$14</formula1>
    </dataValidation>
    <dataValidation type="list" allowBlank="1" showInputMessage="1" showErrorMessage="1" sqref="AA49">
      <formula1>$X$16:$AE$16</formula1>
    </dataValidation>
    <dataValidation type="list" allowBlank="1" showInputMessage="1" showErrorMessage="1" sqref="I7">
      <formula1>$X$7:$AF$7</formula1>
    </dataValidation>
    <dataValidation type="list" allowBlank="1" showInputMessage="1" showErrorMessage="1" sqref="I8">
      <formula1>$X$9:$AB$9</formula1>
    </dataValidation>
    <dataValidation type="list" allowBlank="1" showInputMessage="1" showErrorMessage="1" sqref="I9">
      <formula1>$X$17:$AC$17</formula1>
    </dataValidation>
    <dataValidation type="list" allowBlank="1" showInputMessage="1" showErrorMessage="1" sqref="I10">
      <formula1>$X$18:$AD$18</formula1>
    </dataValidation>
    <dataValidation type="list" allowBlank="1" showInputMessage="1" showErrorMessage="1" sqref="I19:I20">
      <formula1>$X$19:$AE$19</formula1>
    </dataValidation>
    <dataValidation type="list" allowBlank="1" showInputMessage="1" showErrorMessage="1" sqref="I21:I23">
      <formula1>$X$20:$AD$20</formula1>
    </dataValidation>
    <dataValidation type="list" allowBlank="1" showInputMessage="1" showErrorMessage="1" sqref="I24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2" r:id="rId1"/>
  <headerFooter alignWithMargins="0"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8.4218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7.00390625" style="3" customWidth="1"/>
    <col min="13" max="13" width="23.8515625" style="3" customWidth="1"/>
    <col min="14" max="14" width="20.00390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275</v>
      </c>
      <c r="F2" s="4"/>
      <c r="G2" s="5" t="s">
        <v>2</v>
      </c>
      <c r="H2" s="6"/>
    </row>
    <row r="3" spans="1:8" ht="15.75">
      <c r="A3" s="1">
        <f t="shared" si="0"/>
        <v>3</v>
      </c>
      <c r="B3" s="2"/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R5" s="11"/>
    </row>
    <row r="6" spans="1:32" s="12" customFormat="1" ht="15.75">
      <c r="A6" s="1">
        <f t="shared" si="0"/>
        <v>6</v>
      </c>
      <c r="B6" s="13" t="s">
        <v>4</v>
      </c>
      <c r="C6" s="14">
        <v>3</v>
      </c>
      <c r="D6" s="11"/>
      <c r="F6" s="15" t="s">
        <v>182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185</v>
      </c>
      <c r="G7" s="26"/>
      <c r="H7" s="33"/>
      <c r="I7" s="34" t="s">
        <v>37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188</v>
      </c>
      <c r="G8" s="26"/>
      <c r="H8" s="33"/>
      <c r="I8" s="142">
        <v>10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191</v>
      </c>
      <c r="G9" s="26"/>
      <c r="H9" s="33"/>
      <c r="I9" s="51">
        <v>50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194</v>
      </c>
      <c r="G10" s="26"/>
      <c r="H10" s="33"/>
      <c r="I10" s="34" t="s">
        <v>33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 thickBot="1">
      <c r="A11" s="1">
        <f t="shared" si="0"/>
        <v>11</v>
      </c>
      <c r="B11" s="23" t="s">
        <v>34</v>
      </c>
      <c r="C11" s="24">
        <v>5</v>
      </c>
      <c r="D11" s="7"/>
      <c r="F11" s="67" t="s">
        <v>197</v>
      </c>
      <c r="G11" s="68"/>
      <c r="H11" s="69"/>
      <c r="I11" s="143">
        <v>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1940</v>
      </c>
      <c r="D20" s="7"/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67</v>
      </c>
      <c r="D22" s="7"/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0</v>
      </c>
      <c r="D23" s="7"/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200</v>
      </c>
      <c r="D24" s="7"/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400</v>
      </c>
      <c r="D25" s="7"/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>
      <c r="A26" s="1">
        <f t="shared" si="0"/>
        <v>26</v>
      </c>
      <c r="B26" s="49" t="s">
        <v>115</v>
      </c>
      <c r="C26" s="28">
        <v>500</v>
      </c>
      <c r="D26" s="7"/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500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53.736066802651706</v>
      </c>
      <c r="D29" s="7"/>
      <c r="E29" s="76"/>
      <c r="J29" s="7"/>
      <c r="O29" s="7"/>
      <c r="P29" s="7"/>
      <c r="Q29" s="79"/>
      <c r="R29" s="79"/>
      <c r="W29" s="15" t="s">
        <v>123</v>
      </c>
      <c r="X29" s="16"/>
      <c r="Y29" s="17"/>
      <c r="Z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53.736066802651706</v>
      </c>
      <c r="D30" s="7"/>
      <c r="J30" s="7"/>
      <c r="O30" s="7"/>
      <c r="P30" s="7"/>
      <c r="Q30" s="79"/>
      <c r="R30" s="79"/>
      <c r="W30" s="25" t="s">
        <v>124</v>
      </c>
      <c r="X30" s="26"/>
      <c r="Y30" s="79"/>
      <c r="Z30" s="28" t="s">
        <v>11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126</v>
      </c>
      <c r="X31" s="26"/>
      <c r="Y31" s="79"/>
      <c r="Z31" s="34" t="s">
        <v>22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137</v>
      </c>
      <c r="X32" s="26"/>
      <c r="Y32" s="79"/>
      <c r="Z32" s="34" t="s">
        <v>32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138</v>
      </c>
      <c r="X33" s="26"/>
      <c r="Y33" s="79"/>
      <c r="Z33" s="34" t="s">
        <v>37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53.736066802651706</v>
      </c>
      <c r="C34" s="91">
        <v>1.1</v>
      </c>
      <c r="D34" s="92">
        <f>J38</f>
        <v>14.95890410958904</v>
      </c>
      <c r="E34" s="92">
        <f>J39</f>
        <v>4.351517765797943</v>
      </c>
      <c r="F34" s="92">
        <f>J40</f>
        <v>18.69041095890411</v>
      </c>
      <c r="G34" s="92">
        <f>J41</f>
        <v>1.0657534246575342</v>
      </c>
      <c r="H34" s="92">
        <f>J42</f>
        <v>8.397260273972602</v>
      </c>
      <c r="I34" s="92">
        <f>J43</f>
        <v>0.01726027397260274</v>
      </c>
      <c r="J34" s="92">
        <f>J44</f>
        <v>0.4657534246575341</v>
      </c>
      <c r="K34" s="93">
        <f>J45</f>
        <v>0.9945205479452055</v>
      </c>
      <c r="M34"/>
      <c r="N34"/>
      <c r="O34"/>
      <c r="P34"/>
      <c r="Q34"/>
      <c r="R34" s="79"/>
      <c r="W34" s="25" t="s">
        <v>139</v>
      </c>
      <c r="X34" s="26"/>
      <c r="Y34" s="79"/>
      <c r="Z34" s="39" t="s">
        <v>140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142</v>
      </c>
      <c r="X35" s="26"/>
      <c r="Y35" s="79"/>
      <c r="Z35" s="51">
        <v>171.7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152</v>
      </c>
      <c r="X36" s="26"/>
      <c r="Y36" s="79"/>
      <c r="Z36" s="41">
        <v>3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46</v>
      </c>
      <c r="X37" s="26"/>
      <c r="Y37" s="79"/>
      <c r="Z37" s="44" t="s">
        <v>37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3481920</v>
      </c>
      <c r="D38" s="104">
        <f aca="true" t="shared" si="1" ref="D38:D45">C38/$C$26</f>
        <v>6963.84</v>
      </c>
      <c r="E38" s="105">
        <f aca="true" t="shared" si="2" ref="E38:E45">C38/$C$26/365</f>
        <v>19.07901369863014</v>
      </c>
      <c r="F38" s="106">
        <f>C38-H38</f>
        <v>751920</v>
      </c>
      <c r="G38" s="107">
        <f aca="true" t="shared" si="3" ref="G38:G45">IF(C38=0,0,H38/C38)</f>
        <v>0.7840501792114696</v>
      </c>
      <c r="H38" s="103">
        <f>E49</f>
        <v>2730000</v>
      </c>
      <c r="I38" s="108">
        <f aca="true" t="shared" si="4" ref="I38:I45">H38/$C$26</f>
        <v>5460</v>
      </c>
      <c r="J38" s="109">
        <f aca="true" t="shared" si="5" ref="J38:J45">H38/$C$26/365</f>
        <v>14.95890410958904</v>
      </c>
      <c r="K38" s="7"/>
      <c r="L38" s="7"/>
      <c r="M38" s="198"/>
      <c r="N38" s="198"/>
      <c r="O38" s="198"/>
      <c r="P38" s="198"/>
      <c r="Q38" s="198"/>
      <c r="R38" s="79"/>
      <c r="W38" s="25" t="s">
        <v>80</v>
      </c>
      <c r="X38" s="26"/>
      <c r="Y38" s="79"/>
      <c r="Z38" s="51">
        <v>390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1049250</v>
      </c>
      <c r="D39" s="104">
        <f t="shared" si="1"/>
        <v>2098.5</v>
      </c>
      <c r="E39" s="105">
        <f t="shared" si="2"/>
        <v>5.749315068493151</v>
      </c>
      <c r="F39" s="106">
        <f>C39-H39</f>
        <v>255098.00774187548</v>
      </c>
      <c r="G39" s="110">
        <f t="shared" si="3"/>
        <v>0.7568758563336903</v>
      </c>
      <c r="H39" s="103">
        <f>E58</f>
        <v>794151.9922581245</v>
      </c>
      <c r="I39" s="104">
        <f t="shared" si="4"/>
        <v>1588.303984516249</v>
      </c>
      <c r="J39" s="109">
        <f t="shared" si="5"/>
        <v>4.351517765797943</v>
      </c>
      <c r="K39" s="7"/>
      <c r="L39" s="7"/>
      <c r="M39" s="198"/>
      <c r="N39" s="198"/>
      <c r="O39" s="198"/>
      <c r="P39" s="198"/>
      <c r="Q39" s="198"/>
      <c r="R39" s="79"/>
      <c r="W39" s="25" t="s">
        <v>113</v>
      </c>
      <c r="X39" s="26"/>
      <c r="Y39" s="79"/>
      <c r="Z39" s="41">
        <v>1</v>
      </c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3790000</v>
      </c>
      <c r="D40" s="104">
        <f t="shared" si="1"/>
        <v>7580</v>
      </c>
      <c r="E40" s="105">
        <f t="shared" si="2"/>
        <v>20.767123287671232</v>
      </c>
      <c r="F40" s="106">
        <f>C40-H40</f>
        <v>379000</v>
      </c>
      <c r="G40" s="110">
        <f t="shared" si="3"/>
        <v>0.9</v>
      </c>
      <c r="H40" s="103">
        <f>E64</f>
        <v>3411000</v>
      </c>
      <c r="I40" s="104">
        <f t="shared" si="4"/>
        <v>6822</v>
      </c>
      <c r="J40" s="109">
        <f t="shared" si="5"/>
        <v>18.69041095890411</v>
      </c>
      <c r="K40" s="7"/>
      <c r="L40" s="7"/>
      <c r="M40" s="198"/>
      <c r="N40" s="198"/>
      <c r="O40" s="198"/>
      <c r="P40" s="198"/>
      <c r="Q40" s="198"/>
      <c r="R40" s="79"/>
      <c r="W40" s="25" t="s">
        <v>157</v>
      </c>
      <c r="X40" s="26"/>
      <c r="Y40" s="79"/>
      <c r="Z40" s="51">
        <v>30</v>
      </c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325000</v>
      </c>
      <c r="D41" s="104">
        <f t="shared" si="1"/>
        <v>650</v>
      </c>
      <c r="E41" s="105">
        <f t="shared" si="2"/>
        <v>1.7808219178082192</v>
      </c>
      <c r="F41" s="106">
        <f>C41-H41</f>
        <v>130500</v>
      </c>
      <c r="G41" s="110">
        <f t="shared" si="3"/>
        <v>0.5984615384615385</v>
      </c>
      <c r="H41" s="103">
        <f>E72</f>
        <v>194500</v>
      </c>
      <c r="I41" s="104">
        <f t="shared" si="4"/>
        <v>389</v>
      </c>
      <c r="J41" s="109">
        <f t="shared" si="5"/>
        <v>1.0657534246575342</v>
      </c>
      <c r="K41" s="7"/>
      <c r="L41" s="7"/>
      <c r="M41" s="198"/>
      <c r="N41" s="198"/>
      <c r="O41" s="198"/>
      <c r="P41" s="198"/>
      <c r="Q41" s="198"/>
      <c r="R41" s="79"/>
      <c r="W41" s="25" t="s">
        <v>159</v>
      </c>
      <c r="X41" s="26"/>
      <c r="Y41" s="79"/>
      <c r="Z41" s="41" t="s">
        <v>56</v>
      </c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3675000</v>
      </c>
      <c r="D42" s="104">
        <f t="shared" si="1"/>
        <v>7350</v>
      </c>
      <c r="E42" s="105">
        <f t="shared" si="2"/>
        <v>20.136986301369863</v>
      </c>
      <c r="F42" s="106">
        <f>C78-E78</f>
        <v>2142500</v>
      </c>
      <c r="G42" s="110">
        <f t="shared" si="3"/>
        <v>0.4170068027210884</v>
      </c>
      <c r="H42" s="103">
        <f>E78</f>
        <v>1532500</v>
      </c>
      <c r="I42" s="104">
        <f t="shared" si="4"/>
        <v>3065</v>
      </c>
      <c r="J42" s="109">
        <f t="shared" si="5"/>
        <v>8.397260273972602</v>
      </c>
      <c r="K42" s="7"/>
      <c r="L42" s="7"/>
      <c r="M42" s="198"/>
      <c r="N42" s="198"/>
      <c r="O42" s="198"/>
      <c r="P42" s="198"/>
      <c r="Q42" s="198"/>
      <c r="R42" s="79"/>
      <c r="W42" s="25" t="s">
        <v>161</v>
      </c>
      <c r="X42" s="26"/>
      <c r="Y42" s="79"/>
      <c r="Z42" s="41" t="s">
        <v>61</v>
      </c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73500</v>
      </c>
      <c r="D43" s="104">
        <f t="shared" si="1"/>
        <v>147</v>
      </c>
      <c r="E43" s="105">
        <f t="shared" si="2"/>
        <v>0.40273972602739727</v>
      </c>
      <c r="F43" s="106">
        <f>C43-H43</f>
        <v>70350</v>
      </c>
      <c r="G43" s="110">
        <f t="shared" si="3"/>
        <v>0.042857142857142864</v>
      </c>
      <c r="H43" s="103">
        <f>E85</f>
        <v>3150.0000000000005</v>
      </c>
      <c r="I43" s="104">
        <f t="shared" si="4"/>
        <v>6.300000000000001</v>
      </c>
      <c r="J43" s="109">
        <f t="shared" si="5"/>
        <v>0.01726027397260274</v>
      </c>
      <c r="K43" s="7"/>
      <c r="L43" s="7"/>
      <c r="M43" s="198"/>
      <c r="N43" s="198"/>
      <c r="O43" s="198"/>
      <c r="P43" s="198"/>
      <c r="Q43" s="198"/>
      <c r="R43" s="79"/>
      <c r="W43" s="25" t="s">
        <v>163</v>
      </c>
      <c r="X43" s="26"/>
      <c r="Y43" s="79"/>
      <c r="Z43" s="44" t="s">
        <v>164</v>
      </c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250000</v>
      </c>
      <c r="D44" s="104">
        <f t="shared" si="1"/>
        <v>500</v>
      </c>
      <c r="E44" s="105">
        <f t="shared" si="2"/>
        <v>1.36986301369863</v>
      </c>
      <c r="F44" s="106">
        <f>C44-H44</f>
        <v>165000.00000000003</v>
      </c>
      <c r="G44" s="110">
        <f t="shared" si="3"/>
        <v>0.33999999999999986</v>
      </c>
      <c r="H44" s="103">
        <f>E90</f>
        <v>84999.99999999997</v>
      </c>
      <c r="I44" s="104">
        <f t="shared" si="4"/>
        <v>169.99999999999994</v>
      </c>
      <c r="J44" s="109">
        <f t="shared" si="5"/>
        <v>0.4657534246575341</v>
      </c>
      <c r="K44" s="7"/>
      <c r="L44" s="7"/>
      <c r="M44" s="198"/>
      <c r="N44" s="198"/>
      <c r="O44" s="198"/>
      <c r="P44" s="198"/>
      <c r="Q44" s="198"/>
      <c r="R44" s="79"/>
      <c r="W44" s="25" t="s">
        <v>166</v>
      </c>
      <c r="X44" s="26"/>
      <c r="Y44" s="79"/>
      <c r="Z44" s="44" t="s">
        <v>167</v>
      </c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181500</v>
      </c>
      <c r="D45" s="113">
        <f t="shared" si="1"/>
        <v>363</v>
      </c>
      <c r="E45" s="114">
        <f t="shared" si="2"/>
        <v>0.9945205479452055</v>
      </c>
      <c r="F45" s="112">
        <f>C45-H45</f>
        <v>0</v>
      </c>
      <c r="G45" s="115">
        <f t="shared" si="3"/>
        <v>1</v>
      </c>
      <c r="H45" s="116">
        <f>E92</f>
        <v>181500</v>
      </c>
      <c r="I45" s="113">
        <f t="shared" si="4"/>
        <v>363</v>
      </c>
      <c r="J45" s="117">
        <f t="shared" si="5"/>
        <v>0.9945205479452055</v>
      </c>
      <c r="K45" s="7"/>
      <c r="L45" s="7"/>
      <c r="M45" s="198"/>
      <c r="N45" s="198"/>
      <c r="O45" s="198"/>
      <c r="P45" s="198"/>
      <c r="Q45" s="198"/>
      <c r="R45" s="79"/>
      <c r="W45" s="25" t="s">
        <v>169</v>
      </c>
      <c r="X45" s="26"/>
      <c r="Y45" s="79"/>
      <c r="Z45" s="44" t="s">
        <v>59</v>
      </c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12826170</v>
      </c>
      <c r="D46" s="119">
        <f>SUM(D38:D45)</f>
        <v>25652.34</v>
      </c>
      <c r="E46" s="120">
        <f>SUM(E38:E45)</f>
        <v>70.28038356164383</v>
      </c>
      <c r="F46" s="119">
        <f>SUM(F38:F45)</f>
        <v>3894368.0077418755</v>
      </c>
      <c r="G46" s="121">
        <f>H46/C46</f>
        <v>0.6963732737253696</v>
      </c>
      <c r="H46" s="118">
        <f>SUM(H38:H45)</f>
        <v>8931801.992258124</v>
      </c>
      <c r="I46" s="118">
        <f>SUM(I38:I45)</f>
        <v>17863.60398451625</v>
      </c>
      <c r="J46" s="122">
        <f>SUM(J38:J45)</f>
        <v>48.94138077949657</v>
      </c>
      <c r="K46" s="7"/>
      <c r="L46" s="7"/>
      <c r="M46" s="198"/>
      <c r="N46" s="198"/>
      <c r="O46" s="198"/>
      <c r="P46" s="198"/>
      <c r="Q46" s="198"/>
      <c r="R46" s="79"/>
      <c r="W46" s="25" t="s">
        <v>170</v>
      </c>
      <c r="X46" s="7"/>
      <c r="Y46" s="7"/>
      <c r="Z46" s="44" t="s">
        <v>59</v>
      </c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66</v>
      </c>
      <c r="X47" s="26"/>
      <c r="Y47" s="79"/>
      <c r="Z47" s="126" t="s">
        <v>67</v>
      </c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176</v>
      </c>
      <c r="X48" s="26"/>
      <c r="Y48" s="79"/>
      <c r="Z48" s="131" t="s">
        <v>73</v>
      </c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3481920</v>
      </c>
      <c r="D49" s="267">
        <v>0.7840501792114696</v>
      </c>
      <c r="E49" s="141">
        <f aca="true" t="shared" si="6" ref="E49:E57">C49*D49</f>
        <v>2730000</v>
      </c>
      <c r="F49" s="240">
        <v>44</v>
      </c>
      <c r="G49" s="241">
        <f>C49/F49</f>
        <v>79134.54545454546</v>
      </c>
      <c r="H49" s="25" t="s">
        <v>175</v>
      </c>
      <c r="I49" s="81"/>
      <c r="J49" s="129">
        <v>500000</v>
      </c>
      <c r="K49" s="7"/>
      <c r="L49" s="7"/>
      <c r="M49" s="7"/>
      <c r="N49" s="7"/>
      <c r="O49" s="7"/>
      <c r="P49" s="7"/>
      <c r="Q49" s="130"/>
      <c r="R49" s="130"/>
      <c r="W49" s="67" t="s">
        <v>179</v>
      </c>
      <c r="X49" s="68"/>
      <c r="Y49" s="135"/>
      <c r="Z49" s="137" t="s">
        <v>59</v>
      </c>
      <c r="AB49"/>
      <c r="AC49"/>
      <c r="AD49"/>
    </row>
    <row r="50" spans="1:18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26" ht="12.75" customHeight="1" thickBot="1">
      <c r="A51" s="1">
        <f t="shared" si="0"/>
        <v>51</v>
      </c>
      <c r="B51" s="138" t="s">
        <v>180</v>
      </c>
      <c r="C51" s="175">
        <v>749250</v>
      </c>
      <c r="D51" s="268">
        <v>0.7792792792792793</v>
      </c>
      <c r="E51" s="141">
        <f t="shared" si="6"/>
        <v>583875</v>
      </c>
      <c r="F51" s="240">
        <v>8</v>
      </c>
      <c r="G51" s="241">
        <f>C51/F51</f>
        <v>93656.25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  <c r="W51" s="15" t="s">
        <v>5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50000</v>
      </c>
      <c r="D52" s="269">
        <v>0.7933104631217839</v>
      </c>
      <c r="E52" s="141">
        <f t="shared" si="6"/>
        <v>39665.52315608919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  <c r="W52" s="25" t="s">
        <v>8</v>
      </c>
      <c r="X52" s="26"/>
      <c r="Y52" s="27"/>
      <c r="Z52" s="28" t="s">
        <v>15</v>
      </c>
    </row>
    <row r="53" spans="1:26" ht="12.75" customHeight="1">
      <c r="A53" s="1">
        <f t="shared" si="0"/>
        <v>53</v>
      </c>
      <c r="B53" s="25" t="s">
        <v>186</v>
      </c>
      <c r="C53" s="140">
        <v>50000</v>
      </c>
      <c r="D53" s="269">
        <v>0.09999999999999991</v>
      </c>
      <c r="E53" s="141">
        <f t="shared" si="6"/>
        <v>4999.999999999995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  <c r="W53" s="25" t="s">
        <v>20</v>
      </c>
      <c r="X53" s="26"/>
      <c r="Y53" s="33"/>
      <c r="Z53" s="34" t="s">
        <v>11</v>
      </c>
    </row>
    <row r="54" spans="1:26" ht="12.75" customHeight="1">
      <c r="A54" s="1">
        <f t="shared" si="0"/>
        <v>54</v>
      </c>
      <c r="B54" s="25" t="s">
        <v>189</v>
      </c>
      <c r="C54" s="140">
        <v>50000</v>
      </c>
      <c r="D54" s="269">
        <v>0.7933104631217839</v>
      </c>
      <c r="E54" s="141">
        <f t="shared" si="6"/>
        <v>39665.52315608919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  <c r="W54" s="25" t="s">
        <v>24</v>
      </c>
      <c r="X54" s="26"/>
      <c r="Y54" s="33"/>
      <c r="Z54" s="34" t="s">
        <v>25</v>
      </c>
    </row>
    <row r="55" spans="1:26" ht="12.75" customHeight="1">
      <c r="A55" s="1">
        <f t="shared" si="0"/>
        <v>55</v>
      </c>
      <c r="B55" s="25" t="s">
        <v>192</v>
      </c>
      <c r="C55" s="140">
        <v>25000</v>
      </c>
      <c r="D55" s="269">
        <v>0.7792792792792793</v>
      </c>
      <c r="E55" s="141">
        <f t="shared" si="6"/>
        <v>19481.981981981982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  <c r="W55" s="25" t="s">
        <v>28</v>
      </c>
      <c r="X55" s="26"/>
      <c r="Y55" s="33"/>
      <c r="Z55" s="39" t="s">
        <v>86</v>
      </c>
    </row>
    <row r="56" spans="1:26" ht="12.75" customHeight="1">
      <c r="A56" s="1">
        <f t="shared" si="0"/>
        <v>56</v>
      </c>
      <c r="B56" s="25" t="s">
        <v>195</v>
      </c>
      <c r="C56" s="140">
        <v>50000</v>
      </c>
      <c r="D56" s="269">
        <v>0.7792792792792793</v>
      </c>
      <c r="E56" s="141">
        <f t="shared" si="6"/>
        <v>38963.963963963964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  <c r="W56" s="25" t="s">
        <v>35</v>
      </c>
      <c r="X56" s="26"/>
      <c r="Y56" s="33"/>
      <c r="Z56" s="41">
        <v>1000000</v>
      </c>
    </row>
    <row r="57" spans="1:26" ht="12.75" customHeight="1">
      <c r="A57" s="1">
        <f t="shared" si="0"/>
        <v>57</v>
      </c>
      <c r="B57" s="144" t="s">
        <v>198</v>
      </c>
      <c r="C57" s="145">
        <v>75000</v>
      </c>
      <c r="D57" s="270">
        <v>0.9</v>
      </c>
      <c r="E57" s="146">
        <f t="shared" si="6"/>
        <v>67500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  <c r="W57" s="25" t="s">
        <v>45</v>
      </c>
      <c r="X57" s="26"/>
      <c r="Y57" s="33"/>
      <c r="Z57" s="41">
        <v>2</v>
      </c>
    </row>
    <row r="58" spans="1:26" ht="12.75" customHeight="1" thickBot="1">
      <c r="A58" s="1">
        <f t="shared" si="0"/>
        <v>58</v>
      </c>
      <c r="B58" s="25" t="s">
        <v>168</v>
      </c>
      <c r="C58" s="147">
        <f>SUM(C51:C57)</f>
        <v>1049250</v>
      </c>
      <c r="D58" s="271">
        <f>E58/C58</f>
        <v>0.7568758563336903</v>
      </c>
      <c r="E58" s="141">
        <f>SUM(E51:E57)</f>
        <v>794151.9922581245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  <c r="W58" s="25" t="s">
        <v>51</v>
      </c>
      <c r="X58" s="26"/>
      <c r="Y58" s="33"/>
      <c r="Z58" s="44" t="s">
        <v>266</v>
      </c>
    </row>
    <row r="59" spans="1:26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  <c r="W59" s="25" t="s">
        <v>58</v>
      </c>
      <c r="X59" s="26"/>
      <c r="Y59" s="33"/>
      <c r="Z59" s="44" t="s">
        <v>59</v>
      </c>
    </row>
    <row r="60" spans="1:26" ht="12.75" customHeight="1">
      <c r="A60" s="1">
        <f t="shared" si="0"/>
        <v>60</v>
      </c>
      <c r="B60" s="25" t="s">
        <v>203</v>
      </c>
      <c r="C60" s="140">
        <v>750000</v>
      </c>
      <c r="D60" s="269">
        <v>0.9</v>
      </c>
      <c r="E60" s="141">
        <f>C60*D60</f>
        <v>675000</v>
      </c>
      <c r="F60" s="7"/>
      <c r="H60" s="153" t="s">
        <v>204</v>
      </c>
      <c r="I60" s="154"/>
      <c r="J60" s="155">
        <f>SUM(J49:J59)</f>
        <v>500000</v>
      </c>
      <c r="K60" s="7"/>
      <c r="L60" s="9"/>
      <c r="M60" s="26"/>
      <c r="N60" s="79"/>
      <c r="O60" s="26"/>
      <c r="P60" s="156"/>
      <c r="Q60" s="79"/>
      <c r="R60" s="79"/>
      <c r="W60" s="25" t="s">
        <v>65</v>
      </c>
      <c r="X60" s="26"/>
      <c r="Y60" s="33"/>
      <c r="Z60" s="47">
        <f>C23*C26/1000</f>
        <v>0</v>
      </c>
    </row>
    <row r="61" spans="1:26" ht="12.75" customHeight="1">
      <c r="A61" s="1">
        <f t="shared" si="0"/>
        <v>61</v>
      </c>
      <c r="B61" s="25" t="s">
        <v>205</v>
      </c>
      <c r="C61" s="140">
        <v>3000000</v>
      </c>
      <c r="D61" s="269">
        <v>0.9</v>
      </c>
      <c r="E61" s="141">
        <f>C61*D61</f>
        <v>2700000</v>
      </c>
      <c r="F61" s="7"/>
      <c r="H61" s="25" t="s">
        <v>106</v>
      </c>
      <c r="I61" s="26"/>
      <c r="J61" s="157">
        <f>C22</f>
        <v>67</v>
      </c>
      <c r="K61" s="7"/>
      <c r="L61" s="9"/>
      <c r="M61" s="26"/>
      <c r="N61" s="79"/>
      <c r="O61" s="26"/>
      <c r="P61" s="156"/>
      <c r="Q61" s="79"/>
      <c r="R61" s="79"/>
      <c r="W61" s="25" t="s">
        <v>46</v>
      </c>
      <c r="X61" s="26"/>
      <c r="Y61" s="33"/>
      <c r="Z61" s="44" t="s">
        <v>37</v>
      </c>
    </row>
    <row r="62" spans="1:26" ht="12.75" customHeight="1">
      <c r="A62" s="1">
        <f t="shared" si="0"/>
        <v>62</v>
      </c>
      <c r="B62" s="25" t="s">
        <v>206</v>
      </c>
      <c r="C62" s="140">
        <v>15000</v>
      </c>
      <c r="D62" s="269">
        <v>0.9</v>
      </c>
      <c r="E62" s="141">
        <f>C62*D62</f>
        <v>13500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  <c r="W62" s="25" t="s">
        <v>80</v>
      </c>
      <c r="X62" s="26"/>
      <c r="Y62" s="33"/>
      <c r="Z62" s="51">
        <v>125</v>
      </c>
    </row>
    <row r="63" spans="1:26" ht="12.75" customHeight="1">
      <c r="A63" s="1">
        <f t="shared" si="0"/>
        <v>63</v>
      </c>
      <c r="B63" s="144" t="s">
        <v>208</v>
      </c>
      <c r="C63" s="145">
        <v>25000</v>
      </c>
      <c r="D63" s="270">
        <v>0.9</v>
      </c>
      <c r="E63" s="146">
        <f>C63*D63</f>
        <v>22500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  <c r="W63" s="25" t="s">
        <v>85</v>
      </c>
      <c r="X63" s="26"/>
      <c r="Y63" s="33"/>
      <c r="Z63" s="53">
        <f>Z56/Z62/1000</f>
        <v>8</v>
      </c>
    </row>
    <row r="64" spans="1:26" ht="12.75" customHeight="1" thickBot="1">
      <c r="A64" s="1">
        <f t="shared" si="0"/>
        <v>64</v>
      </c>
      <c r="B64" s="25" t="s">
        <v>168</v>
      </c>
      <c r="C64" s="147">
        <f>SUM(C60:C63)</f>
        <v>3790000</v>
      </c>
      <c r="D64" s="271">
        <f>E64/C64</f>
        <v>0.9</v>
      </c>
      <c r="E64" s="141">
        <f>SUM(E60:E63)</f>
        <v>3411000</v>
      </c>
      <c r="F64" s="7"/>
      <c r="H64" s="161" t="s">
        <v>210</v>
      </c>
      <c r="I64" s="162"/>
      <c r="J64" s="163">
        <f>J60*J63</f>
        <v>181500</v>
      </c>
      <c r="K64" s="7"/>
      <c r="L64" s="9"/>
      <c r="M64" s="26"/>
      <c r="N64" s="79"/>
      <c r="O64" s="26"/>
      <c r="P64" s="156"/>
      <c r="Q64" s="79"/>
      <c r="R64" s="79"/>
      <c r="W64" s="25" t="s">
        <v>90</v>
      </c>
      <c r="X64" s="26"/>
      <c r="Y64" s="33"/>
      <c r="Z64" s="51" t="s">
        <v>93</v>
      </c>
    </row>
    <row r="65" spans="1:26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  <c r="W65" s="25" t="s">
        <v>96</v>
      </c>
      <c r="Y65" s="56"/>
      <c r="Z65" s="51" t="s">
        <v>91</v>
      </c>
    </row>
    <row r="66" spans="1:26" ht="12.75" customHeight="1">
      <c r="A66" s="1">
        <f aca="true" t="shared" si="7" ref="A66:A92">A65+1</f>
        <v>66</v>
      </c>
      <c r="B66" s="25" t="s">
        <v>215</v>
      </c>
      <c r="C66" s="140">
        <v>20000</v>
      </c>
      <c r="D66" s="269">
        <v>0.9</v>
      </c>
      <c r="E66" s="141">
        <f aca="true" t="shared" si="8" ref="E66:E71">C66*D66</f>
        <v>18000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  <c r="W66" s="25" t="s">
        <v>103</v>
      </c>
      <c r="X66" s="26"/>
      <c r="Y66" s="33"/>
      <c r="Z66" s="51" t="s">
        <v>98</v>
      </c>
    </row>
    <row r="67" spans="1:26" ht="12.75" customHeight="1">
      <c r="A67" s="1">
        <f t="shared" si="7"/>
        <v>67</v>
      </c>
      <c r="B67" s="25" t="s">
        <v>217</v>
      </c>
      <c r="C67" s="140">
        <v>50000</v>
      </c>
      <c r="D67" s="269">
        <v>0.9</v>
      </c>
      <c r="E67" s="141">
        <f t="shared" si="8"/>
        <v>45000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  <c r="W67" s="25" t="s">
        <v>107</v>
      </c>
      <c r="Y67" s="56"/>
      <c r="Z67" s="51" t="s">
        <v>100</v>
      </c>
    </row>
    <row r="68" spans="1:26" ht="12.75" customHeight="1">
      <c r="A68" s="1">
        <f t="shared" si="7"/>
        <v>68</v>
      </c>
      <c r="B68" s="25" t="s">
        <v>219</v>
      </c>
      <c r="C68" s="140">
        <v>15000</v>
      </c>
      <c r="D68" s="269">
        <v>0.5</v>
      </c>
      <c r="E68" s="141">
        <f t="shared" si="8"/>
        <v>7500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  <c r="W68" s="25" t="s">
        <v>109</v>
      </c>
      <c r="Y68" s="56"/>
      <c r="Z68" s="51" t="s">
        <v>22</v>
      </c>
    </row>
    <row r="69" spans="1:26" ht="12.75" customHeight="1">
      <c r="A69" s="1">
        <f t="shared" si="7"/>
        <v>69</v>
      </c>
      <c r="B69" s="25" t="s">
        <v>221</v>
      </c>
      <c r="C69" s="140">
        <v>30000</v>
      </c>
      <c r="D69" s="269">
        <v>0.5</v>
      </c>
      <c r="E69" s="141">
        <f t="shared" si="8"/>
        <v>15000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  <c r="W69" s="25" t="s">
        <v>104</v>
      </c>
      <c r="X69" s="26"/>
      <c r="Y69" s="33"/>
      <c r="Z69" s="51" t="s">
        <v>22</v>
      </c>
    </row>
    <row r="70" spans="1:26" ht="12.75" customHeight="1">
      <c r="A70" s="1">
        <f t="shared" si="7"/>
        <v>70</v>
      </c>
      <c r="B70" s="25" t="s">
        <v>223</v>
      </c>
      <c r="C70" s="140">
        <v>200000</v>
      </c>
      <c r="D70" s="269">
        <v>0.5</v>
      </c>
      <c r="E70" s="141">
        <f t="shared" si="8"/>
        <v>100000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  <c r="W70" s="25" t="s">
        <v>113</v>
      </c>
      <c r="X70" s="26"/>
      <c r="Y70" s="33"/>
      <c r="Z70" s="41">
        <v>2</v>
      </c>
    </row>
    <row r="71" spans="1:26" ht="12.75" customHeight="1" thickBot="1">
      <c r="A71" s="1">
        <f t="shared" si="7"/>
        <v>71</v>
      </c>
      <c r="B71" s="144" t="s">
        <v>225</v>
      </c>
      <c r="C71" s="145">
        <v>10000</v>
      </c>
      <c r="D71" s="270">
        <v>0.9</v>
      </c>
      <c r="E71" s="146">
        <f t="shared" si="8"/>
        <v>9000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  <c r="W71" s="67" t="s">
        <v>116</v>
      </c>
      <c r="X71" s="68"/>
      <c r="Y71" s="69"/>
      <c r="Z71" s="70" t="s">
        <v>67</v>
      </c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325000</v>
      </c>
      <c r="D72" s="271">
        <f>E72/C72</f>
        <v>0.5984615384615385</v>
      </c>
      <c r="E72" s="141">
        <f>SUM(E66:E71)</f>
        <v>194500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2500000</v>
      </c>
      <c r="D74" s="269">
        <v>0.6</v>
      </c>
      <c r="E74" s="141">
        <f>C74*D74</f>
        <v>1500000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75000</v>
      </c>
      <c r="D75" s="269">
        <v>0.09999999999999991</v>
      </c>
      <c r="E75" s="141">
        <f>C75*D75</f>
        <v>7499.999999999993</v>
      </c>
      <c r="F75" s="7"/>
      <c r="H75" s="25" t="s">
        <v>232</v>
      </c>
      <c r="I75" s="26"/>
      <c r="J75" s="50">
        <v>150000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0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1000000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3675000</v>
      </c>
      <c r="D78" s="271">
        <f>E78/C78</f>
        <v>0.4170068027210884</v>
      </c>
      <c r="E78" s="179">
        <f>SUM(E74:E77)</f>
        <v>1532500</v>
      </c>
      <c r="F78" s="7"/>
      <c r="H78" s="67" t="s">
        <v>237</v>
      </c>
      <c r="I78" s="68"/>
      <c r="J78" s="180">
        <v>1.06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0.75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0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1050000</v>
      </c>
      <c r="D83" s="271">
        <f>E83/C83</f>
        <v>0.04285714285714286</v>
      </c>
      <c r="E83" s="186">
        <f>SUM(E80:E82)</f>
        <v>45000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73500</v>
      </c>
      <c r="D85" s="273">
        <f>E85/C85</f>
        <v>0.042857142857142864</v>
      </c>
      <c r="E85" s="194">
        <f>$C$84*E83</f>
        <v>3150.0000000000005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100000</v>
      </c>
      <c r="D87" s="269">
        <v>0.3</v>
      </c>
      <c r="E87" s="141">
        <f>C87*D87</f>
        <v>30000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100000</v>
      </c>
      <c r="D88" s="269">
        <v>0.0999999999999998</v>
      </c>
      <c r="E88" s="141">
        <f>C88*D88</f>
        <v>9999.99999999998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50000</v>
      </c>
      <c r="D89" s="269">
        <v>0.9</v>
      </c>
      <c r="E89" s="146">
        <f>C89*D89</f>
        <v>45000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250000</v>
      </c>
      <c r="D90" s="272">
        <f>E90/C90</f>
        <v>0.33999999999999986</v>
      </c>
      <c r="E90" s="139">
        <f>SUM(E87:E89)</f>
        <v>84999.99999999997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181500</v>
      </c>
      <c r="D92" s="267">
        <v>1</v>
      </c>
      <c r="E92" s="128">
        <f>C92*D92</f>
        <v>181500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I10 I7 Z37 Z61">
      <formula1>$X$12:$AF$12</formula1>
    </dataValidation>
    <dataValidation type="list" allowBlank="1" showInputMessage="1" showErrorMessage="1" sqref="Z71 Z47">
      <formula1>$X$15:$AD$15</formula1>
    </dataValidation>
    <dataValidation type="list" allowBlank="1" showInputMessage="1" showErrorMessage="1" sqref="Z64:Z65">
      <formula1>$X$19:$AE$19</formula1>
    </dataValidation>
    <dataValidation type="list" allowBlank="1" showInputMessage="1" showErrorMessage="1" sqref="Z66:Z68">
      <formula1>$X$20:$AD$20</formula1>
    </dataValidation>
    <dataValidation type="list" allowBlank="1" showInputMessage="1" showErrorMessage="1" sqref="Z69">
      <formula1>$X$21:$AB$21</formula1>
    </dataValidation>
    <dataValidation type="list" allowBlank="1" showInputMessage="1" showErrorMessage="1" sqref="Z52">
      <formula1>$X$7:$AF$7</formula1>
    </dataValidation>
    <dataValidation type="list" allowBlank="1" showInputMessage="1" showErrorMessage="1" sqref="Z53">
      <formula1>$X$9:$AB$9</formula1>
    </dataValidation>
    <dataValidation type="list" allowBlank="1" showInputMessage="1" showErrorMessage="1" sqref="Z54">
      <formula1>$X$17:$AC$17</formula1>
    </dataValidation>
    <dataValidation type="list" allowBlank="1" showInputMessage="1" showErrorMessage="1" sqref="Z55">
      <formula1>$X$18:$AC$18</formula1>
    </dataValidation>
    <dataValidation type="list" allowBlank="1" showInputMessage="1" showErrorMessage="1" sqref="Z30">
      <formula1>$X$7:$AA$7</formula1>
    </dataValidation>
    <dataValidation type="list" allowBlank="1" showInputMessage="1" showErrorMessage="1" sqref="Z31">
      <formula1>$X$8:$AA$8</formula1>
    </dataValidation>
    <dataValidation type="list" allowBlank="1" showInputMessage="1" showErrorMessage="1" sqref="Z32">
      <formula1>$X$10:$Z$10</formula1>
    </dataValidation>
    <dataValidation type="list" allowBlank="1" showInputMessage="1" showErrorMessage="1" sqref="Z33">
      <formula1>$X$11:$AF$11</formula1>
    </dataValidation>
    <dataValidation type="list" allowBlank="1" showInputMessage="1" showErrorMessage="1" sqref="Z41">
      <formula1>$X$13:$AC$13</formula1>
    </dataValidation>
    <dataValidation type="list" allowBlank="1" showInputMessage="1" showErrorMessage="1" sqref="Z42">
      <formula1>$X$14:$AD$14</formula1>
    </dataValidation>
    <dataValidation type="list" allowBlank="1" showInputMessage="1" showErrorMessage="1" sqref="Z48">
      <formula1>$X$16:$AE$16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D54" sqref="D54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8.4218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4.28125" style="3" customWidth="1"/>
    <col min="13" max="13" width="24.57421875" style="3" customWidth="1"/>
    <col min="14" max="14" width="22.8515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279</v>
      </c>
      <c r="F2" s="4"/>
      <c r="G2" s="5" t="s">
        <v>2</v>
      </c>
      <c r="H2" s="6"/>
    </row>
    <row r="3" spans="1:8" ht="15.75">
      <c r="A3" s="1">
        <f t="shared" si="0"/>
        <v>3</v>
      </c>
      <c r="B3" s="2"/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R5" s="11"/>
    </row>
    <row r="6" spans="1:32" s="12" customFormat="1" ht="15.75">
      <c r="A6" s="1">
        <f t="shared" si="0"/>
        <v>6</v>
      </c>
      <c r="B6" s="13" t="s">
        <v>4</v>
      </c>
      <c r="C6" s="14">
        <v>3</v>
      </c>
      <c r="D6" s="11"/>
      <c r="F6" s="15" t="s">
        <v>182</v>
      </c>
      <c r="G6" s="16"/>
      <c r="H6" s="17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F7" s="25" t="s">
        <v>185</v>
      </c>
      <c r="G7" s="26"/>
      <c r="H7" s="33"/>
      <c r="I7" s="34" t="s">
        <v>37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F8" s="25" t="s">
        <v>188</v>
      </c>
      <c r="G8" s="26"/>
      <c r="H8" s="33"/>
      <c r="I8" s="142">
        <v>8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F9" s="25" t="s">
        <v>191</v>
      </c>
      <c r="G9" s="26"/>
      <c r="H9" s="33"/>
      <c r="I9" s="51">
        <v>125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F10" s="25" t="s">
        <v>194</v>
      </c>
      <c r="G10" s="26"/>
      <c r="H10" s="33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 thickBot="1">
      <c r="A11" s="1">
        <f t="shared" si="0"/>
        <v>11</v>
      </c>
      <c r="B11" s="23" t="s">
        <v>34</v>
      </c>
      <c r="C11" s="24">
        <v>5</v>
      </c>
      <c r="D11" s="7"/>
      <c r="F11" s="67" t="s">
        <v>197</v>
      </c>
      <c r="G11" s="68"/>
      <c r="H11" s="69"/>
      <c r="I11" s="143">
        <v>5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1985</v>
      </c>
      <c r="D20" s="7"/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22</v>
      </c>
      <c r="D22" s="7"/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0</v>
      </c>
      <c r="D23" s="7"/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75</v>
      </c>
      <c r="D24" s="7"/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75</v>
      </c>
      <c r="D25" s="7"/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>
      <c r="A26" s="1">
        <f t="shared" si="0"/>
        <v>26</v>
      </c>
      <c r="B26" s="49" t="s">
        <v>115</v>
      </c>
      <c r="C26" s="28">
        <v>1000</v>
      </c>
      <c r="D26" s="7"/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1000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15.719309518986146</v>
      </c>
      <c r="D29" s="7"/>
      <c r="E29" s="76"/>
      <c r="J29" s="7"/>
      <c r="O29" s="7"/>
      <c r="P29" s="7"/>
      <c r="Q29" s="79"/>
      <c r="R29" s="79"/>
      <c r="W29" s="15" t="s">
        <v>123</v>
      </c>
      <c r="X29" s="16"/>
      <c r="Y29" s="17"/>
      <c r="Z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15.719309518986146</v>
      </c>
      <c r="D30" s="7"/>
      <c r="J30" s="7"/>
      <c r="O30" s="7"/>
      <c r="P30" s="7"/>
      <c r="Q30" s="79"/>
      <c r="R30" s="79"/>
      <c r="W30" s="25" t="s">
        <v>124</v>
      </c>
      <c r="X30" s="26"/>
      <c r="Y30" s="79"/>
      <c r="Z30" s="28" t="s">
        <v>11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126</v>
      </c>
      <c r="X31" s="26"/>
      <c r="Y31" s="79"/>
      <c r="Z31" s="34" t="s">
        <v>22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137</v>
      </c>
      <c r="X32" s="26"/>
      <c r="Y32" s="79"/>
      <c r="Z32" s="34" t="s">
        <v>32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138</v>
      </c>
      <c r="X33" s="26"/>
      <c r="Y33" s="79"/>
      <c r="Z33" s="34" t="s">
        <v>37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15.719309518986146</v>
      </c>
      <c r="C34" s="91">
        <v>1.1</v>
      </c>
      <c r="D34" s="92">
        <f>J38</f>
        <v>4.496219178082192</v>
      </c>
      <c r="E34" s="92">
        <f>J39</f>
        <v>1.5703635726773166</v>
      </c>
      <c r="F34" s="92">
        <f>J40</f>
        <v>4.031506849315068</v>
      </c>
      <c r="G34" s="92">
        <f>J41</f>
        <v>0.5328767123287671</v>
      </c>
      <c r="H34" s="92">
        <f>J42</f>
        <v>2.9657534246575343</v>
      </c>
      <c r="I34" s="92">
        <f>J43</f>
        <v>0.00863013698630137</v>
      </c>
      <c r="J34" s="92">
        <f>J44</f>
        <v>0.23287671232876705</v>
      </c>
      <c r="K34" s="93">
        <f>J45</f>
        <v>0.49726027397260275</v>
      </c>
      <c r="M34"/>
      <c r="N34"/>
      <c r="O34"/>
      <c r="P34"/>
      <c r="Q34"/>
      <c r="R34" s="79"/>
      <c r="W34" s="25" t="s">
        <v>139</v>
      </c>
      <c r="X34" s="26"/>
      <c r="Y34" s="79"/>
      <c r="Z34" s="39" t="s">
        <v>140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142</v>
      </c>
      <c r="X35" s="26"/>
      <c r="Y35" s="79"/>
      <c r="Z35" s="51">
        <v>171.7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152</v>
      </c>
      <c r="X36" s="26"/>
      <c r="Y36" s="79"/>
      <c r="Z36" s="41">
        <v>3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46</v>
      </c>
      <c r="X37" s="26"/>
      <c r="Y37" s="79"/>
      <c r="Z37" s="44" t="s">
        <v>37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2118480</v>
      </c>
      <c r="D38" s="104">
        <f aca="true" t="shared" si="1" ref="D38:D45">C38/$C$26</f>
        <v>2118.48</v>
      </c>
      <c r="E38" s="105">
        <f aca="true" t="shared" si="2" ref="E38:E45">C38/$C$26/365</f>
        <v>5.804054794520548</v>
      </c>
      <c r="F38" s="106">
        <f>C38-H38</f>
        <v>477360</v>
      </c>
      <c r="G38" s="107">
        <f aca="true" t="shared" si="3" ref="G38:G45">IF(C38=0,0,H38/C38)</f>
        <v>0.7746686303387335</v>
      </c>
      <c r="H38" s="103">
        <f>E49</f>
        <v>1641120</v>
      </c>
      <c r="I38" s="108">
        <f aca="true" t="shared" si="4" ref="I38:I45">H38/$C$26</f>
        <v>1641.12</v>
      </c>
      <c r="J38" s="109">
        <f aca="true" t="shared" si="5" ref="J38:J45">H38/$C$26/365</f>
        <v>4.496219178082192</v>
      </c>
      <c r="K38" s="7"/>
      <c r="L38" s="7"/>
      <c r="M38" s="198"/>
      <c r="N38" s="198"/>
      <c r="O38" s="198"/>
      <c r="P38" s="198"/>
      <c r="Q38" s="198"/>
      <c r="R38" s="79"/>
      <c r="W38" s="25" t="s">
        <v>80</v>
      </c>
      <c r="X38" s="26"/>
      <c r="Y38" s="79"/>
      <c r="Z38" s="51">
        <v>390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817250</v>
      </c>
      <c r="D39" s="104">
        <f t="shared" si="1"/>
        <v>817.25</v>
      </c>
      <c r="E39" s="105">
        <f t="shared" si="2"/>
        <v>2.239041095890411</v>
      </c>
      <c r="F39" s="106">
        <f>C39-H39</f>
        <v>244067.2959727794</v>
      </c>
      <c r="G39" s="110">
        <f t="shared" si="3"/>
        <v>0.7013554041324205</v>
      </c>
      <c r="H39" s="103">
        <f>E58</f>
        <v>573182.7040272206</v>
      </c>
      <c r="I39" s="104">
        <f t="shared" si="4"/>
        <v>573.1827040272206</v>
      </c>
      <c r="J39" s="109">
        <f t="shared" si="5"/>
        <v>1.5703635726773166</v>
      </c>
      <c r="K39" s="7"/>
      <c r="L39" s="7"/>
      <c r="M39" s="198"/>
      <c r="N39" s="198"/>
      <c r="O39" s="198"/>
      <c r="P39" s="198"/>
      <c r="Q39" s="198"/>
      <c r="R39" s="79"/>
      <c r="W39" s="25" t="s">
        <v>113</v>
      </c>
      <c r="X39" s="26"/>
      <c r="Y39" s="79"/>
      <c r="Z39" s="41">
        <v>1</v>
      </c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1635000</v>
      </c>
      <c r="D40" s="104">
        <f t="shared" si="1"/>
        <v>1635</v>
      </c>
      <c r="E40" s="105">
        <f t="shared" si="2"/>
        <v>4.47945205479452</v>
      </c>
      <c r="F40" s="106">
        <f>C40-H40</f>
        <v>163500</v>
      </c>
      <c r="G40" s="110">
        <f t="shared" si="3"/>
        <v>0.9</v>
      </c>
      <c r="H40" s="103">
        <f>E64</f>
        <v>1471500</v>
      </c>
      <c r="I40" s="104">
        <f t="shared" si="4"/>
        <v>1471.5</v>
      </c>
      <c r="J40" s="109">
        <f t="shared" si="5"/>
        <v>4.031506849315068</v>
      </c>
      <c r="K40" s="7"/>
      <c r="L40" s="7"/>
      <c r="M40" s="198"/>
      <c r="N40" s="198"/>
      <c r="O40" s="198"/>
      <c r="P40" s="198"/>
      <c r="Q40" s="198"/>
      <c r="R40" s="79"/>
      <c r="W40" s="25" t="s">
        <v>157</v>
      </c>
      <c r="X40" s="26"/>
      <c r="Y40" s="79"/>
      <c r="Z40" s="51">
        <v>30</v>
      </c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325000</v>
      </c>
      <c r="D41" s="104">
        <f t="shared" si="1"/>
        <v>325</v>
      </c>
      <c r="E41" s="105">
        <f t="shared" si="2"/>
        <v>0.8904109589041096</v>
      </c>
      <c r="F41" s="106">
        <f>C41-H41</f>
        <v>130500</v>
      </c>
      <c r="G41" s="110">
        <f t="shared" si="3"/>
        <v>0.5984615384615385</v>
      </c>
      <c r="H41" s="103">
        <f>E72</f>
        <v>194500</v>
      </c>
      <c r="I41" s="104">
        <f t="shared" si="4"/>
        <v>194.5</v>
      </c>
      <c r="J41" s="109">
        <f t="shared" si="5"/>
        <v>0.5328767123287671</v>
      </c>
      <c r="K41" s="7"/>
      <c r="L41" s="7"/>
      <c r="M41" s="198"/>
      <c r="N41" s="198"/>
      <c r="O41" s="198"/>
      <c r="P41" s="198"/>
      <c r="Q41" s="198"/>
      <c r="R41" s="79"/>
      <c r="W41" s="25" t="s">
        <v>159</v>
      </c>
      <c r="X41" s="26"/>
      <c r="Y41" s="79"/>
      <c r="Z41" s="41" t="s">
        <v>56</v>
      </c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2675000</v>
      </c>
      <c r="D42" s="104">
        <f t="shared" si="1"/>
        <v>2675</v>
      </c>
      <c r="E42" s="105">
        <f t="shared" si="2"/>
        <v>7.328767123287672</v>
      </c>
      <c r="F42" s="106">
        <f>C78-E78</f>
        <v>1592500</v>
      </c>
      <c r="G42" s="110">
        <f t="shared" si="3"/>
        <v>0.4046728971962617</v>
      </c>
      <c r="H42" s="103">
        <f>E78</f>
        <v>1082500</v>
      </c>
      <c r="I42" s="104">
        <f t="shared" si="4"/>
        <v>1082.5</v>
      </c>
      <c r="J42" s="109">
        <f t="shared" si="5"/>
        <v>2.9657534246575343</v>
      </c>
      <c r="K42" s="7"/>
      <c r="L42" s="7"/>
      <c r="M42" s="198"/>
      <c r="N42" s="198"/>
      <c r="O42" s="198"/>
      <c r="P42" s="198"/>
      <c r="Q42" s="198"/>
      <c r="R42" s="79"/>
      <c r="W42" s="25" t="s">
        <v>161</v>
      </c>
      <c r="X42" s="26"/>
      <c r="Y42" s="79"/>
      <c r="Z42" s="41" t="s">
        <v>61</v>
      </c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56000.00000000001</v>
      </c>
      <c r="D43" s="104">
        <f t="shared" si="1"/>
        <v>56.00000000000001</v>
      </c>
      <c r="E43" s="105">
        <f t="shared" si="2"/>
        <v>0.15342465753424658</v>
      </c>
      <c r="F43" s="106">
        <f>C43-H43</f>
        <v>52850.00000000001</v>
      </c>
      <c r="G43" s="110">
        <f t="shared" si="3"/>
        <v>0.05625</v>
      </c>
      <c r="H43" s="103">
        <f>E85</f>
        <v>3150.0000000000005</v>
      </c>
      <c r="I43" s="104">
        <f t="shared" si="4"/>
        <v>3.1500000000000004</v>
      </c>
      <c r="J43" s="109">
        <f t="shared" si="5"/>
        <v>0.00863013698630137</v>
      </c>
      <c r="K43" s="7"/>
      <c r="L43" s="7"/>
      <c r="M43" s="198"/>
      <c r="N43" s="198"/>
      <c r="O43" s="198"/>
      <c r="P43" s="198"/>
      <c r="Q43" s="198"/>
      <c r="R43" s="79"/>
      <c r="W43" s="25" t="s">
        <v>163</v>
      </c>
      <c r="X43" s="26"/>
      <c r="Y43" s="79"/>
      <c r="Z43" s="44" t="s">
        <v>164</v>
      </c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250000</v>
      </c>
      <c r="D44" s="104">
        <f t="shared" si="1"/>
        <v>250</v>
      </c>
      <c r="E44" s="105">
        <f t="shared" si="2"/>
        <v>0.684931506849315</v>
      </c>
      <c r="F44" s="106">
        <f>C44-H44</f>
        <v>165000.00000000003</v>
      </c>
      <c r="G44" s="110">
        <f t="shared" si="3"/>
        <v>0.33999999999999986</v>
      </c>
      <c r="H44" s="103">
        <f>E90</f>
        <v>84999.99999999997</v>
      </c>
      <c r="I44" s="104">
        <f t="shared" si="4"/>
        <v>84.99999999999997</v>
      </c>
      <c r="J44" s="109">
        <f t="shared" si="5"/>
        <v>0.23287671232876705</v>
      </c>
      <c r="K44" s="7"/>
      <c r="L44" s="7"/>
      <c r="M44" s="198"/>
      <c r="N44" s="198"/>
      <c r="O44" s="198"/>
      <c r="P44" s="198"/>
      <c r="Q44" s="198"/>
      <c r="R44" s="79"/>
      <c r="W44" s="25" t="s">
        <v>166</v>
      </c>
      <c r="X44" s="26"/>
      <c r="Y44" s="79"/>
      <c r="Z44" s="44" t="s">
        <v>167</v>
      </c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181500</v>
      </c>
      <c r="D45" s="113">
        <f t="shared" si="1"/>
        <v>181.5</v>
      </c>
      <c r="E45" s="114">
        <f t="shared" si="2"/>
        <v>0.49726027397260275</v>
      </c>
      <c r="F45" s="112">
        <f>C45-H45</f>
        <v>0</v>
      </c>
      <c r="G45" s="115">
        <f t="shared" si="3"/>
        <v>1</v>
      </c>
      <c r="H45" s="116">
        <f>E92</f>
        <v>181500</v>
      </c>
      <c r="I45" s="113">
        <f t="shared" si="4"/>
        <v>181.5</v>
      </c>
      <c r="J45" s="117">
        <f t="shared" si="5"/>
        <v>0.49726027397260275</v>
      </c>
      <c r="K45" s="7"/>
      <c r="L45" s="7"/>
      <c r="M45" s="198"/>
      <c r="N45" s="198"/>
      <c r="O45" s="198"/>
      <c r="P45" s="198"/>
      <c r="Q45" s="198"/>
      <c r="R45" s="79"/>
      <c r="W45" s="25" t="s">
        <v>169</v>
      </c>
      <c r="X45" s="26"/>
      <c r="Y45" s="79"/>
      <c r="Z45" s="44" t="s">
        <v>59</v>
      </c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8058230</v>
      </c>
      <c r="D46" s="119">
        <f>SUM(D38:D45)</f>
        <v>8058.23</v>
      </c>
      <c r="E46" s="120">
        <f>SUM(E38:E45)</f>
        <v>22.07734246575342</v>
      </c>
      <c r="F46" s="119">
        <f>SUM(F38:F45)</f>
        <v>2825777.2959727794</v>
      </c>
      <c r="G46" s="121">
        <f>H46/C46</f>
        <v>0.6493302752623369</v>
      </c>
      <c r="H46" s="118">
        <f>SUM(H38:H45)</f>
        <v>5232452.704027221</v>
      </c>
      <c r="I46" s="118">
        <f>SUM(I38:I45)</f>
        <v>5232.4527040272205</v>
      </c>
      <c r="J46" s="122">
        <f>SUM(J38:J45)</f>
        <v>14.33548686034855</v>
      </c>
      <c r="K46" s="7"/>
      <c r="L46" s="7"/>
      <c r="M46" s="198"/>
      <c r="N46" s="198"/>
      <c r="O46" s="198"/>
      <c r="P46" s="198"/>
      <c r="Q46" s="198"/>
      <c r="R46" s="79"/>
      <c r="W46" s="25" t="s">
        <v>170</v>
      </c>
      <c r="X46" s="7"/>
      <c r="Y46" s="7"/>
      <c r="Z46" s="44" t="s">
        <v>59</v>
      </c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66</v>
      </c>
      <c r="X47" s="26"/>
      <c r="Y47" s="79"/>
      <c r="Z47" s="126" t="s">
        <v>67</v>
      </c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176</v>
      </c>
      <c r="X48" s="26"/>
      <c r="Y48" s="79"/>
      <c r="Z48" s="131" t="s">
        <v>73</v>
      </c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2118480</v>
      </c>
      <c r="D49" s="267">
        <v>0.7746686303387335</v>
      </c>
      <c r="E49" s="141">
        <f aca="true" t="shared" si="6" ref="E49:E57">C49*D49</f>
        <v>1641120</v>
      </c>
      <c r="F49" s="240">
        <v>26</v>
      </c>
      <c r="G49" s="241">
        <f>C49/F49</f>
        <v>81480</v>
      </c>
      <c r="H49" s="25" t="s">
        <v>175</v>
      </c>
      <c r="I49" s="81"/>
      <c r="J49" s="129">
        <v>500000</v>
      </c>
      <c r="K49" s="7"/>
      <c r="L49" s="7"/>
      <c r="M49" s="7"/>
      <c r="N49" s="7"/>
      <c r="O49" s="7"/>
      <c r="P49" s="7"/>
      <c r="Q49" s="130"/>
      <c r="R49" s="130"/>
      <c r="W49" s="67" t="s">
        <v>179</v>
      </c>
      <c r="X49" s="68"/>
      <c r="Y49" s="135"/>
      <c r="Z49" s="137" t="s">
        <v>59</v>
      </c>
      <c r="AB49"/>
      <c r="AC49"/>
      <c r="AD49"/>
    </row>
    <row r="50" spans="1:18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26" ht="12.75" customHeight="1" thickBot="1">
      <c r="A51" s="1">
        <f t="shared" si="0"/>
        <v>51</v>
      </c>
      <c r="B51" s="138" t="s">
        <v>180</v>
      </c>
      <c r="C51" s="175">
        <v>587250</v>
      </c>
      <c r="D51" s="268">
        <v>0.7183908045977011</v>
      </c>
      <c r="E51" s="141">
        <f t="shared" si="6"/>
        <v>421875</v>
      </c>
      <c r="F51" s="240">
        <v>6</v>
      </c>
      <c r="G51" s="241">
        <f>C51/F51</f>
        <v>97875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  <c r="W51" s="15" t="s">
        <v>5</v>
      </c>
      <c r="X51" s="16"/>
      <c r="Y51" s="17"/>
      <c r="Z51" s="18"/>
    </row>
    <row r="52" spans="1:26" ht="12.75" customHeight="1">
      <c r="A52" s="1">
        <f t="shared" si="0"/>
        <v>52</v>
      </c>
      <c r="B52" s="25" t="s">
        <v>183</v>
      </c>
      <c r="C52" s="140">
        <v>30000</v>
      </c>
      <c r="D52" s="269">
        <v>0.7746686303387335</v>
      </c>
      <c r="E52" s="141">
        <f t="shared" si="6"/>
        <v>23240.058910162003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  <c r="W52" s="25" t="s">
        <v>8</v>
      </c>
      <c r="X52" s="26"/>
      <c r="Y52" s="27"/>
      <c r="Z52" s="28" t="s">
        <v>15</v>
      </c>
    </row>
    <row r="53" spans="1:26" ht="12.75" customHeight="1">
      <c r="A53" s="1">
        <f t="shared" si="0"/>
        <v>53</v>
      </c>
      <c r="B53" s="25" t="s">
        <v>186</v>
      </c>
      <c r="C53" s="140">
        <v>50000</v>
      </c>
      <c r="D53" s="269">
        <v>0.09999999999999991</v>
      </c>
      <c r="E53" s="141">
        <f t="shared" si="6"/>
        <v>4999.999999999995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  <c r="W53" s="25" t="s">
        <v>20</v>
      </c>
      <c r="X53" s="26"/>
      <c r="Y53" s="33"/>
      <c r="Z53" s="34" t="s">
        <v>11</v>
      </c>
    </row>
    <row r="54" spans="1:26" ht="12.75" customHeight="1">
      <c r="A54" s="1">
        <f t="shared" si="0"/>
        <v>54</v>
      </c>
      <c r="B54" s="25" t="s">
        <v>189</v>
      </c>
      <c r="C54" s="140">
        <v>30000</v>
      </c>
      <c r="D54" s="269">
        <v>0.7746686303387335</v>
      </c>
      <c r="E54" s="141">
        <f t="shared" si="6"/>
        <v>23240.058910162003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  <c r="W54" s="25" t="s">
        <v>24</v>
      </c>
      <c r="X54" s="26"/>
      <c r="Y54" s="33"/>
      <c r="Z54" s="34" t="s">
        <v>25</v>
      </c>
    </row>
    <row r="55" spans="1:26" ht="12.75" customHeight="1">
      <c r="A55" s="1">
        <f t="shared" si="0"/>
        <v>55</v>
      </c>
      <c r="B55" s="25" t="s">
        <v>192</v>
      </c>
      <c r="C55" s="140">
        <v>15000</v>
      </c>
      <c r="D55" s="269">
        <v>0.7183908045977011</v>
      </c>
      <c r="E55" s="141">
        <f t="shared" si="6"/>
        <v>10775.862068965516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  <c r="W55" s="25" t="s">
        <v>28</v>
      </c>
      <c r="X55" s="26"/>
      <c r="Y55" s="33"/>
      <c r="Z55" s="39" t="s">
        <v>86</v>
      </c>
    </row>
    <row r="56" spans="1:26" ht="12.75" customHeight="1">
      <c r="A56" s="1">
        <f t="shared" si="0"/>
        <v>56</v>
      </c>
      <c r="B56" s="25" t="s">
        <v>195</v>
      </c>
      <c r="C56" s="140">
        <v>30000</v>
      </c>
      <c r="D56" s="269">
        <v>0.7183908045977011</v>
      </c>
      <c r="E56" s="141">
        <f t="shared" si="6"/>
        <v>21551.724137931033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  <c r="W56" s="25" t="s">
        <v>35</v>
      </c>
      <c r="X56" s="26"/>
      <c r="Y56" s="33"/>
      <c r="Z56" s="41">
        <v>1000000</v>
      </c>
    </row>
    <row r="57" spans="1:26" ht="12.75" customHeight="1">
      <c r="A57" s="1">
        <f t="shared" si="0"/>
        <v>57</v>
      </c>
      <c r="B57" s="144" t="s">
        <v>198</v>
      </c>
      <c r="C57" s="145">
        <v>75000</v>
      </c>
      <c r="D57" s="270">
        <v>0.9</v>
      </c>
      <c r="E57" s="146">
        <f t="shared" si="6"/>
        <v>67500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  <c r="W57" s="25" t="s">
        <v>45</v>
      </c>
      <c r="X57" s="26"/>
      <c r="Y57" s="33"/>
      <c r="Z57" s="41">
        <v>2</v>
      </c>
    </row>
    <row r="58" spans="1:26" ht="12.75" customHeight="1" thickBot="1">
      <c r="A58" s="1">
        <f t="shared" si="0"/>
        <v>58</v>
      </c>
      <c r="B58" s="25" t="s">
        <v>168</v>
      </c>
      <c r="C58" s="147">
        <f>SUM(C51:C57)</f>
        <v>817250</v>
      </c>
      <c r="D58" s="271">
        <f>E58/C58</f>
        <v>0.7013554041324205</v>
      </c>
      <c r="E58" s="141">
        <f>SUM(E51:E57)</f>
        <v>573182.7040272206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  <c r="W58" s="25" t="s">
        <v>51</v>
      </c>
      <c r="X58" s="26"/>
      <c r="Y58" s="33"/>
      <c r="Z58" s="44" t="s">
        <v>266</v>
      </c>
    </row>
    <row r="59" spans="1:26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  <c r="W59" s="25" t="s">
        <v>58</v>
      </c>
      <c r="X59" s="26"/>
      <c r="Y59" s="33"/>
      <c r="Z59" s="44" t="s">
        <v>59</v>
      </c>
    </row>
    <row r="60" spans="1:26" ht="12.75" customHeight="1">
      <c r="A60" s="1">
        <f t="shared" si="0"/>
        <v>60</v>
      </c>
      <c r="B60" s="25" t="s">
        <v>203</v>
      </c>
      <c r="C60" s="140">
        <v>600000</v>
      </c>
      <c r="D60" s="269">
        <v>0.9</v>
      </c>
      <c r="E60" s="141">
        <f>C60*D60</f>
        <v>540000</v>
      </c>
      <c r="F60" s="7"/>
      <c r="H60" s="153" t="s">
        <v>204</v>
      </c>
      <c r="I60" s="154"/>
      <c r="J60" s="155">
        <f>SUM(J49:J59)</f>
        <v>500000</v>
      </c>
      <c r="K60" s="7"/>
      <c r="L60" s="9"/>
      <c r="M60" s="26"/>
      <c r="N60" s="79"/>
      <c r="O60" s="26"/>
      <c r="P60" s="156"/>
      <c r="Q60" s="79"/>
      <c r="R60" s="79"/>
      <c r="W60" s="25" t="s">
        <v>65</v>
      </c>
      <c r="X60" s="26"/>
      <c r="Y60" s="33"/>
      <c r="Z60" s="47">
        <f>C23*C26/1000</f>
        <v>0</v>
      </c>
    </row>
    <row r="61" spans="1:26" ht="12.75" customHeight="1">
      <c r="A61" s="1">
        <f t="shared" si="0"/>
        <v>61</v>
      </c>
      <c r="B61" s="25" t="s">
        <v>205</v>
      </c>
      <c r="C61" s="140">
        <v>1000000</v>
      </c>
      <c r="D61" s="269">
        <v>0.9</v>
      </c>
      <c r="E61" s="141">
        <f>C61*D61</f>
        <v>900000</v>
      </c>
      <c r="F61" s="7"/>
      <c r="H61" s="25" t="s">
        <v>106</v>
      </c>
      <c r="I61" s="26"/>
      <c r="J61" s="157">
        <f>C22</f>
        <v>22</v>
      </c>
      <c r="K61" s="7"/>
      <c r="L61" s="9"/>
      <c r="M61" s="26"/>
      <c r="N61" s="79"/>
      <c r="O61" s="26"/>
      <c r="P61" s="156"/>
      <c r="Q61" s="79"/>
      <c r="R61" s="79"/>
      <c r="W61" s="25" t="s">
        <v>46</v>
      </c>
      <c r="X61" s="26"/>
      <c r="Y61" s="33"/>
      <c r="Z61" s="44" t="s">
        <v>37</v>
      </c>
    </row>
    <row r="62" spans="1:26" ht="12.75" customHeight="1">
      <c r="A62" s="1">
        <f t="shared" si="0"/>
        <v>62</v>
      </c>
      <c r="B62" s="25" t="s">
        <v>206</v>
      </c>
      <c r="C62" s="140">
        <v>15000</v>
      </c>
      <c r="D62" s="269">
        <v>0.9</v>
      </c>
      <c r="E62" s="141">
        <f>C62*D62</f>
        <v>13500</v>
      </c>
      <c r="F62" s="7"/>
      <c r="H62" s="25" t="s">
        <v>207</v>
      </c>
      <c r="I62" s="26"/>
      <c r="J62" s="158">
        <v>5</v>
      </c>
      <c r="K62" s="7"/>
      <c r="L62" s="9"/>
      <c r="M62" s="26"/>
      <c r="N62" s="79"/>
      <c r="O62" s="26"/>
      <c r="P62" s="156"/>
      <c r="Q62" s="79"/>
      <c r="R62" s="79"/>
      <c r="W62" s="25" t="s">
        <v>80</v>
      </c>
      <c r="X62" s="26"/>
      <c r="Y62" s="33"/>
      <c r="Z62" s="51">
        <v>125</v>
      </c>
    </row>
    <row r="63" spans="1:26" ht="12.75" customHeight="1">
      <c r="A63" s="1">
        <f t="shared" si="0"/>
        <v>63</v>
      </c>
      <c r="B63" s="144" t="s">
        <v>208</v>
      </c>
      <c r="C63" s="145">
        <v>20000</v>
      </c>
      <c r="D63" s="270">
        <v>0.9</v>
      </c>
      <c r="E63" s="146">
        <f>C63*D63</f>
        <v>18000</v>
      </c>
      <c r="F63" s="7"/>
      <c r="H63" s="144" t="s">
        <v>209</v>
      </c>
      <c r="I63" s="159"/>
      <c r="J63" s="160">
        <f>IF(J62=I66,J66,IF(J62=I67,J67,IF(J62=I68,J68,IF(J62=I69,J69,IF(J62=I70,J70,J71)))))</f>
        <v>0.363</v>
      </c>
      <c r="K63" s="7"/>
      <c r="L63" s="9"/>
      <c r="M63" s="26"/>
      <c r="N63" s="79"/>
      <c r="O63" s="26"/>
      <c r="P63" s="156"/>
      <c r="Q63" s="79"/>
      <c r="R63" s="79"/>
      <c r="W63" s="25" t="s">
        <v>85</v>
      </c>
      <c r="X63" s="26"/>
      <c r="Y63" s="33"/>
      <c r="Z63" s="53">
        <f>Z56/Z62/1000</f>
        <v>8</v>
      </c>
    </row>
    <row r="64" spans="1:26" ht="12.75" customHeight="1" thickBot="1">
      <c r="A64" s="1">
        <f t="shared" si="0"/>
        <v>64</v>
      </c>
      <c r="B64" s="25" t="s">
        <v>168</v>
      </c>
      <c r="C64" s="147">
        <f>SUM(C60:C63)</f>
        <v>1635000</v>
      </c>
      <c r="D64" s="271">
        <f>E64/C64</f>
        <v>0.9</v>
      </c>
      <c r="E64" s="141">
        <f>SUM(E60:E63)</f>
        <v>1471500</v>
      </c>
      <c r="F64" s="7"/>
      <c r="H64" s="161" t="s">
        <v>210</v>
      </c>
      <c r="I64" s="162"/>
      <c r="J64" s="163">
        <f>J60*J63</f>
        <v>181500</v>
      </c>
      <c r="K64" s="7"/>
      <c r="L64" s="9"/>
      <c r="M64" s="26"/>
      <c r="N64" s="79"/>
      <c r="O64" s="26"/>
      <c r="P64" s="156"/>
      <c r="Q64" s="79"/>
      <c r="R64" s="79"/>
      <c r="W64" s="25" t="s">
        <v>90</v>
      </c>
      <c r="X64" s="26"/>
      <c r="Y64" s="33"/>
      <c r="Z64" s="51" t="s">
        <v>93</v>
      </c>
    </row>
    <row r="65" spans="1:26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  <c r="W65" s="25" t="s">
        <v>96</v>
      </c>
      <c r="Y65" s="56"/>
      <c r="Z65" s="51" t="s">
        <v>91</v>
      </c>
    </row>
    <row r="66" spans="1:26" ht="12.75" customHeight="1">
      <c r="A66" s="1">
        <f aca="true" t="shared" si="7" ref="A66:A92">A65+1</f>
        <v>66</v>
      </c>
      <c r="B66" s="25" t="s">
        <v>215</v>
      </c>
      <c r="C66" s="140">
        <v>20000</v>
      </c>
      <c r="D66" s="269">
        <v>0.9</v>
      </c>
      <c r="E66" s="141">
        <f aca="true" t="shared" si="8" ref="E66:E71">C66*D66</f>
        <v>18000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  <c r="W66" s="25" t="s">
        <v>103</v>
      </c>
      <c r="X66" s="26"/>
      <c r="Y66" s="33"/>
      <c r="Z66" s="51" t="s">
        <v>98</v>
      </c>
    </row>
    <row r="67" spans="1:26" ht="12.75" customHeight="1">
      <c r="A67" s="1">
        <f t="shared" si="7"/>
        <v>67</v>
      </c>
      <c r="B67" s="25" t="s">
        <v>217</v>
      </c>
      <c r="C67" s="140">
        <v>50000</v>
      </c>
      <c r="D67" s="269">
        <v>0.9</v>
      </c>
      <c r="E67" s="141">
        <f t="shared" si="8"/>
        <v>45000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  <c r="W67" s="25" t="s">
        <v>107</v>
      </c>
      <c r="Y67" s="56"/>
      <c r="Z67" s="51" t="s">
        <v>100</v>
      </c>
    </row>
    <row r="68" spans="1:26" ht="12.75" customHeight="1">
      <c r="A68" s="1">
        <f t="shared" si="7"/>
        <v>68</v>
      </c>
      <c r="B68" s="25" t="s">
        <v>219</v>
      </c>
      <c r="C68" s="140">
        <v>15000</v>
      </c>
      <c r="D68" s="269">
        <v>0.5</v>
      </c>
      <c r="E68" s="141">
        <f t="shared" si="8"/>
        <v>7500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  <c r="W68" s="25" t="s">
        <v>109</v>
      </c>
      <c r="Y68" s="56"/>
      <c r="Z68" s="51" t="s">
        <v>22</v>
      </c>
    </row>
    <row r="69" spans="1:26" ht="12.75" customHeight="1">
      <c r="A69" s="1">
        <f t="shared" si="7"/>
        <v>69</v>
      </c>
      <c r="B69" s="25" t="s">
        <v>221</v>
      </c>
      <c r="C69" s="140">
        <v>30000</v>
      </c>
      <c r="D69" s="269">
        <v>0.5</v>
      </c>
      <c r="E69" s="141">
        <f t="shared" si="8"/>
        <v>15000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  <c r="W69" s="25" t="s">
        <v>104</v>
      </c>
      <c r="X69" s="26"/>
      <c r="Y69" s="33"/>
      <c r="Z69" s="51" t="s">
        <v>22</v>
      </c>
    </row>
    <row r="70" spans="1:26" ht="12.75" customHeight="1">
      <c r="A70" s="1">
        <f t="shared" si="7"/>
        <v>70</v>
      </c>
      <c r="B70" s="25" t="s">
        <v>223</v>
      </c>
      <c r="C70" s="140">
        <v>200000</v>
      </c>
      <c r="D70" s="269">
        <v>0.5</v>
      </c>
      <c r="E70" s="141">
        <f t="shared" si="8"/>
        <v>100000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  <c r="W70" s="25" t="s">
        <v>113</v>
      </c>
      <c r="X70" s="26"/>
      <c r="Y70" s="33"/>
      <c r="Z70" s="41">
        <v>2</v>
      </c>
    </row>
    <row r="71" spans="1:26" ht="12.75" customHeight="1" thickBot="1">
      <c r="A71" s="1">
        <f t="shared" si="7"/>
        <v>71</v>
      </c>
      <c r="B71" s="144" t="s">
        <v>225</v>
      </c>
      <c r="C71" s="145">
        <v>10000</v>
      </c>
      <c r="D71" s="270">
        <v>0.9</v>
      </c>
      <c r="E71" s="146">
        <f t="shared" si="8"/>
        <v>9000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  <c r="W71" s="67" t="s">
        <v>116</v>
      </c>
      <c r="X71" s="68"/>
      <c r="Y71" s="69"/>
      <c r="Z71" s="70" t="s">
        <v>67</v>
      </c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325000</v>
      </c>
      <c r="D72" s="271">
        <f>E72/C72</f>
        <v>0.5984615384615385</v>
      </c>
      <c r="E72" s="141">
        <f>SUM(E66:E71)</f>
        <v>194500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1750000</v>
      </c>
      <c r="D74" s="269">
        <v>0.6</v>
      </c>
      <c r="E74" s="141">
        <f>C74*D74</f>
        <v>1050000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75000</v>
      </c>
      <c r="D75" s="269">
        <v>0.09999999999999991</v>
      </c>
      <c r="E75" s="141">
        <f>C75*D75</f>
        <v>7499.999999999993</v>
      </c>
      <c r="F75" s="7"/>
      <c r="H75" s="25" t="s">
        <v>232</v>
      </c>
      <c r="I75" s="26"/>
      <c r="J75" s="50">
        <v>150000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0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750000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2675000</v>
      </c>
      <c r="D78" s="271">
        <f>E78/C78</f>
        <v>0.4046728971962617</v>
      </c>
      <c r="E78" s="179">
        <f>SUM(E74:E77)</f>
        <v>1082500</v>
      </c>
      <c r="F78" s="7"/>
      <c r="H78" s="67" t="s">
        <v>237</v>
      </c>
      <c r="I78" s="68"/>
      <c r="J78" s="180">
        <v>1.06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750000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0.75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0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800000</v>
      </c>
      <c r="D83" s="271">
        <f>E83/C83</f>
        <v>0.05625</v>
      </c>
      <c r="E83" s="186">
        <f>SUM(E80:E82)</f>
        <v>45000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274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56000.00000000001</v>
      </c>
      <c r="D85" s="273">
        <f>E85/C85</f>
        <v>0.05625</v>
      </c>
      <c r="E85" s="194">
        <f>$C$84*E83</f>
        <v>3150.0000000000005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100000</v>
      </c>
      <c r="D87" s="269">
        <v>0.3</v>
      </c>
      <c r="E87" s="141">
        <f>C87*D87</f>
        <v>30000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100000</v>
      </c>
      <c r="D88" s="269">
        <v>0.0999999999999998</v>
      </c>
      <c r="E88" s="141">
        <f>C88*D88</f>
        <v>9999.99999999998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50000</v>
      </c>
      <c r="D89" s="269">
        <v>0.9</v>
      </c>
      <c r="E89" s="146">
        <f>C89*D89</f>
        <v>45000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250000</v>
      </c>
      <c r="D90" s="272">
        <f>E90/C90</f>
        <v>0.33999999999999986</v>
      </c>
      <c r="E90" s="139">
        <f>SUM(E87:E89)</f>
        <v>84999.99999999997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181500</v>
      </c>
      <c r="D92" s="267">
        <v>1</v>
      </c>
      <c r="E92" s="128">
        <f>C92*D92</f>
        <v>181500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I10 I7 Z37 Z61">
      <formula1>$X$12:$AF$12</formula1>
    </dataValidation>
    <dataValidation type="list" allowBlank="1" showInputMessage="1" showErrorMessage="1" sqref="Z71 Z47">
      <formula1>$X$15:$AD$15</formula1>
    </dataValidation>
    <dataValidation type="list" allowBlank="1" showInputMessage="1" showErrorMessage="1" sqref="Z64:Z65">
      <formula1>$X$19:$AE$19</formula1>
    </dataValidation>
    <dataValidation type="list" allowBlank="1" showInputMessage="1" showErrorMessage="1" sqref="Z66:Z68">
      <formula1>$X$20:$AD$20</formula1>
    </dataValidation>
    <dataValidation type="list" allowBlank="1" showInputMessage="1" showErrorMessage="1" sqref="Z69">
      <formula1>$X$21:$AB$21</formula1>
    </dataValidation>
    <dataValidation type="list" allowBlank="1" showInputMessage="1" showErrorMessage="1" sqref="Z52">
      <formula1>$X$7:$AF$7</formula1>
    </dataValidation>
    <dataValidation type="list" allowBlank="1" showInputMessage="1" showErrorMessage="1" sqref="Z53">
      <formula1>$X$9:$AB$9</formula1>
    </dataValidation>
    <dataValidation type="list" allowBlank="1" showInputMessage="1" showErrorMessage="1" sqref="Z54">
      <formula1>$X$17:$AC$17</formula1>
    </dataValidation>
    <dataValidation type="list" allowBlank="1" showInputMessage="1" showErrorMessage="1" sqref="Z55">
      <formula1>$X$18:$AC$18</formula1>
    </dataValidation>
    <dataValidation type="list" allowBlank="1" showInputMessage="1" showErrorMessage="1" sqref="Z30">
      <formula1>$X$7:$AA$7</formula1>
    </dataValidation>
    <dataValidation type="list" allowBlank="1" showInputMessage="1" showErrorMessage="1" sqref="Z31">
      <formula1>$X$8:$AA$8</formula1>
    </dataValidation>
    <dataValidation type="list" allowBlank="1" showInputMessage="1" showErrorMessage="1" sqref="Z32">
      <formula1>$X$10:$Z$10</formula1>
    </dataValidation>
    <dataValidation type="list" allowBlank="1" showInputMessage="1" showErrorMessage="1" sqref="Z33">
      <formula1>$X$11:$AF$11</formula1>
    </dataValidation>
    <dataValidation type="list" allowBlank="1" showInputMessage="1" showErrorMessage="1" sqref="Z41">
      <formula1>$X$13:$AC$13</formula1>
    </dataValidation>
    <dataValidation type="list" allowBlank="1" showInputMessage="1" showErrorMessage="1" sqref="Z42">
      <formula1>$X$14:$AD$14</formula1>
    </dataValidation>
    <dataValidation type="list" allowBlank="1" showInputMessage="1" showErrorMessage="1" sqref="Z48">
      <formula1>$X$16:$AE$16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7.7109375" style="3" customWidth="1"/>
    <col min="13" max="13" width="24.8515625" style="3" customWidth="1"/>
    <col min="14" max="14" width="18.71093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329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1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Q6" s="7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14</v>
      </c>
      <c r="J7" s="11"/>
      <c r="K7" s="207" t="s">
        <v>314</v>
      </c>
      <c r="L7" s="26"/>
      <c r="M7" s="26"/>
      <c r="N7" s="244">
        <v>0</v>
      </c>
      <c r="Q7" s="7"/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11</v>
      </c>
      <c r="J8" s="11"/>
      <c r="K8" s="207" t="s">
        <v>327</v>
      </c>
      <c r="L8" s="213"/>
      <c r="M8" s="213"/>
      <c r="N8" s="275">
        <v>0</v>
      </c>
      <c r="Q8" s="7"/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Q9" s="7"/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Q10" s="7"/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273</v>
      </c>
      <c r="J11" s="7"/>
      <c r="K11" s="207" t="s">
        <v>318</v>
      </c>
      <c r="L11" s="26"/>
      <c r="M11" s="26"/>
      <c r="N11" s="245">
        <v>0</v>
      </c>
      <c r="Q11" s="7"/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20</v>
      </c>
      <c r="J12" s="7"/>
      <c r="K12" s="207" t="s">
        <v>319</v>
      </c>
      <c r="L12" s="26"/>
      <c r="M12" s="26"/>
      <c r="N12" s="245">
        <v>0</v>
      </c>
      <c r="Q12" s="7"/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10</v>
      </c>
      <c r="J13" s="7"/>
      <c r="K13" s="207" t="s">
        <v>320</v>
      </c>
      <c r="L13" s="26"/>
      <c r="M13" s="26"/>
      <c r="N13" s="245">
        <v>0</v>
      </c>
      <c r="Q13" s="7"/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33</v>
      </c>
      <c r="J14" s="7"/>
      <c r="K14" s="208" t="s">
        <v>321</v>
      </c>
      <c r="L14" s="68"/>
      <c r="M14" s="68"/>
      <c r="N14" s="246">
        <v>0</v>
      </c>
      <c r="Q14" s="7"/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Q15" s="7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Q16" s="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Q17" s="7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22</v>
      </c>
      <c r="J18" s="7"/>
      <c r="K18" s="279" t="s">
        <v>337</v>
      </c>
      <c r="L18" s="280"/>
      <c r="M18" s="280"/>
      <c r="N18" s="281"/>
      <c r="Q18" s="7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Q19" s="7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1970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Q20" s="7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Q21" s="7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37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Q22" s="7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15000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Q23" s="7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40</v>
      </c>
      <c r="D24" s="7"/>
      <c r="E24" s="25" t="s">
        <v>66</v>
      </c>
      <c r="F24" s="26"/>
      <c r="G24" s="79"/>
      <c r="H24" s="85"/>
      <c r="I24" s="126" t="s">
        <v>22</v>
      </c>
      <c r="J24" s="7"/>
      <c r="Q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200</v>
      </c>
      <c r="D25" s="7"/>
      <c r="E25" s="25" t="s">
        <v>176</v>
      </c>
      <c r="F25" s="26"/>
      <c r="G25" s="79"/>
      <c r="H25" s="85"/>
      <c r="I25" s="131" t="s">
        <v>22</v>
      </c>
      <c r="J25" s="7"/>
      <c r="Q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200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Q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E27" s="76"/>
      <c r="F27" s="76"/>
      <c r="G27" s="76"/>
      <c r="H27" s="76"/>
      <c r="I27" s="76"/>
      <c r="J27" s="7"/>
      <c r="K27" s="7"/>
      <c r="L27" s="7"/>
      <c r="M27" s="7"/>
      <c r="N27" s="7"/>
      <c r="O27" s="7"/>
      <c r="P27" s="7"/>
      <c r="Q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200</v>
      </c>
      <c r="D28" s="7"/>
      <c r="F28" s="76"/>
      <c r="G28" s="76"/>
      <c r="H28" s="76"/>
      <c r="I28" s="76"/>
      <c r="J28" s="7"/>
      <c r="K28" s="7"/>
      <c r="L28" s="7"/>
      <c r="M28" s="7"/>
      <c r="N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18.371885067521617</v>
      </c>
      <c r="D29" s="7"/>
      <c r="E29" s="76"/>
      <c r="F29" s="76"/>
      <c r="G29" s="76"/>
      <c r="H29" s="76"/>
      <c r="I29" s="76"/>
      <c r="J29" s="7"/>
      <c r="K29" s="7"/>
      <c r="L29" s="7"/>
      <c r="M29" s="7"/>
      <c r="N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18.371885067521617</v>
      </c>
      <c r="D30" s="7"/>
      <c r="E30" s="76"/>
      <c r="F30" s="76"/>
      <c r="G30" s="76"/>
      <c r="H30" s="76"/>
      <c r="I30" s="76"/>
      <c r="J30" s="7"/>
      <c r="K30" s="7"/>
      <c r="L30" s="7"/>
      <c r="M30" s="7"/>
      <c r="N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18.371885067521617</v>
      </c>
      <c r="C34" s="91">
        <v>1.1</v>
      </c>
      <c r="D34" s="92">
        <f>J38</f>
        <v>3.9106849315068497</v>
      </c>
      <c r="E34" s="92">
        <f>J39</f>
        <v>2.7094748858447493</v>
      </c>
      <c r="F34" s="92">
        <f>J40</f>
        <v>4.86986301369863</v>
      </c>
      <c r="G34" s="92">
        <f>J41</f>
        <v>1.2671232876712328</v>
      </c>
      <c r="H34" s="92">
        <f>J42</f>
        <v>1.523972602739726</v>
      </c>
      <c r="I34" s="92">
        <f>J43</f>
        <v>1.358328475663072</v>
      </c>
      <c r="J34" s="92">
        <f>J44</f>
        <v>0.6986301369863014</v>
      </c>
      <c r="K34" s="93">
        <f>J45</f>
        <v>0.3999999999999999</v>
      </c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449280</v>
      </c>
      <c r="D38" s="104">
        <f aca="true" t="shared" si="1" ref="D38:D45">C38/$C$26</f>
        <v>2246.4</v>
      </c>
      <c r="E38" s="105">
        <f aca="true" t="shared" si="2" ref="E38:E45">C38/$C$26/365</f>
        <v>6.154520547945205</v>
      </c>
      <c r="F38" s="106">
        <f>C38-H38</f>
        <v>163800</v>
      </c>
      <c r="G38" s="107">
        <f aca="true" t="shared" si="3" ref="G38:G45">IF(C38=0,0,H38/C38)</f>
        <v>0.6354166666666666</v>
      </c>
      <c r="H38" s="103">
        <f>E49</f>
        <v>285480</v>
      </c>
      <c r="I38" s="108">
        <f aca="true" t="shared" si="4" ref="I38:I45">H38/$C$26</f>
        <v>1427.4</v>
      </c>
      <c r="J38" s="109">
        <f aca="true" t="shared" si="5" ref="J38:J45">H38/$C$26/365</f>
        <v>3.9106849315068497</v>
      </c>
      <c r="K38" s="7"/>
      <c r="L38" s="7"/>
      <c r="W38" s="25" t="s">
        <v>65</v>
      </c>
      <c r="X38" s="26"/>
      <c r="Y38" s="33"/>
      <c r="Z38" s="47">
        <f>C23*C26/1000</f>
        <v>3000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277000</v>
      </c>
      <c r="D39" s="104">
        <f t="shared" si="1"/>
        <v>1385</v>
      </c>
      <c r="E39" s="105">
        <f t="shared" si="2"/>
        <v>3.7945205479452055</v>
      </c>
      <c r="F39" s="106">
        <f>C39-H39</f>
        <v>79208.33333333331</v>
      </c>
      <c r="G39" s="110">
        <f t="shared" si="3"/>
        <v>0.7140493381468112</v>
      </c>
      <c r="H39" s="103">
        <f>E58</f>
        <v>197791.6666666667</v>
      </c>
      <c r="I39" s="104">
        <f t="shared" si="4"/>
        <v>988.9583333333335</v>
      </c>
      <c r="J39" s="109">
        <f t="shared" si="5"/>
        <v>2.7094748858447493</v>
      </c>
      <c r="K39" s="7"/>
      <c r="L39" s="7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395000</v>
      </c>
      <c r="D40" s="104">
        <f t="shared" si="1"/>
        <v>1975</v>
      </c>
      <c r="E40" s="105">
        <f t="shared" si="2"/>
        <v>5.410958904109589</v>
      </c>
      <c r="F40" s="106">
        <f>C40-H40</f>
        <v>39500</v>
      </c>
      <c r="G40" s="110">
        <f t="shared" si="3"/>
        <v>0.9</v>
      </c>
      <c r="H40" s="103">
        <f>E64</f>
        <v>355500</v>
      </c>
      <c r="I40" s="104">
        <f t="shared" si="4"/>
        <v>1777.5</v>
      </c>
      <c r="J40" s="109">
        <f t="shared" si="5"/>
        <v>4.86986301369863</v>
      </c>
      <c r="K40" s="7"/>
      <c r="L40" s="7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145000</v>
      </c>
      <c r="D41" s="104">
        <f t="shared" si="1"/>
        <v>725</v>
      </c>
      <c r="E41" s="105">
        <f t="shared" si="2"/>
        <v>1.9863013698630136</v>
      </c>
      <c r="F41" s="106">
        <f>C41-H41</f>
        <v>52500</v>
      </c>
      <c r="G41" s="110">
        <f t="shared" si="3"/>
        <v>0.6379310344827587</v>
      </c>
      <c r="H41" s="103">
        <f>E72</f>
        <v>92500</v>
      </c>
      <c r="I41" s="104">
        <f t="shared" si="4"/>
        <v>462.5</v>
      </c>
      <c r="J41" s="109">
        <f t="shared" si="5"/>
        <v>1.2671232876712328</v>
      </c>
      <c r="K41" s="7"/>
      <c r="L41" s="7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285000</v>
      </c>
      <c r="D42" s="104">
        <f t="shared" si="1"/>
        <v>1425</v>
      </c>
      <c r="E42" s="105">
        <f t="shared" si="2"/>
        <v>3.904109589041096</v>
      </c>
      <c r="F42" s="106">
        <f>C78-E78</f>
        <v>173750</v>
      </c>
      <c r="G42" s="110">
        <f t="shared" si="3"/>
        <v>0.39035087719298245</v>
      </c>
      <c r="H42" s="103">
        <f>E78</f>
        <v>111250</v>
      </c>
      <c r="I42" s="104">
        <f t="shared" si="4"/>
        <v>556.25</v>
      </c>
      <c r="J42" s="109">
        <f t="shared" si="5"/>
        <v>1.523972602739726</v>
      </c>
      <c r="K42" s="7"/>
      <c r="L42" s="7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149360.63829787239</v>
      </c>
      <c r="D43" s="104">
        <f t="shared" si="1"/>
        <v>746.8031914893619</v>
      </c>
      <c r="E43" s="105">
        <f t="shared" si="2"/>
        <v>2.046036141066745</v>
      </c>
      <c r="F43" s="106">
        <f>C43-H43</f>
        <v>50202.659574468125</v>
      </c>
      <c r="G43" s="110">
        <f t="shared" si="3"/>
        <v>0.6638829336391283</v>
      </c>
      <c r="H43" s="103">
        <f>E85</f>
        <v>99157.97872340426</v>
      </c>
      <c r="I43" s="104">
        <f t="shared" si="4"/>
        <v>495.7898936170213</v>
      </c>
      <c r="J43" s="109">
        <f t="shared" si="5"/>
        <v>1.358328475663072</v>
      </c>
      <c r="K43" s="7"/>
      <c r="L43" s="7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300</v>
      </c>
      <c r="E44" s="105">
        <f t="shared" si="2"/>
        <v>0.821917808219178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255</v>
      </c>
      <c r="J44" s="109">
        <f t="shared" si="5"/>
        <v>0.6986301369863014</v>
      </c>
      <c r="K44" s="7"/>
      <c r="L44" s="7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29199.999999999996</v>
      </c>
      <c r="D45" s="113">
        <f t="shared" si="1"/>
        <v>145.99999999999997</v>
      </c>
      <c r="E45" s="114">
        <f t="shared" si="2"/>
        <v>0.3999999999999999</v>
      </c>
      <c r="F45" s="112">
        <f>C45-H45</f>
        <v>0</v>
      </c>
      <c r="G45" s="115">
        <f t="shared" si="3"/>
        <v>1</v>
      </c>
      <c r="H45" s="116">
        <f>E92</f>
        <v>29199.999999999996</v>
      </c>
      <c r="I45" s="113">
        <f t="shared" si="4"/>
        <v>145.99999999999997</v>
      </c>
      <c r="J45" s="117">
        <f t="shared" si="5"/>
        <v>0.3999999999999999</v>
      </c>
      <c r="K45" s="7"/>
      <c r="L45" s="7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1789840.6382978724</v>
      </c>
      <c r="D46" s="119">
        <f>SUM(D38:D45)</f>
        <v>8949.203191489361</v>
      </c>
      <c r="E46" s="120">
        <f>SUM(E38:E45)</f>
        <v>24.518364908190033</v>
      </c>
      <c r="F46" s="119">
        <f>SUM(F38:F45)</f>
        <v>567960.9929078014</v>
      </c>
      <c r="G46" s="121">
        <f>H46/C46</f>
        <v>0.6826751048361888</v>
      </c>
      <c r="H46" s="118">
        <f>SUM(H38:H45)</f>
        <v>1221879.645390071</v>
      </c>
      <c r="I46" s="118">
        <f>SUM(I38:I45)</f>
        <v>6109.398226950355</v>
      </c>
      <c r="J46" s="122">
        <f>SUM(J38:J45)</f>
        <v>16.73807733411056</v>
      </c>
      <c r="K46" s="7"/>
      <c r="L46" s="7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449280</v>
      </c>
      <c r="D49" s="267">
        <v>0.6354166666666666</v>
      </c>
      <c r="E49" s="146">
        <f aca="true" t="shared" si="6" ref="E49:E57">C49*D49</f>
        <v>285480</v>
      </c>
      <c r="F49" s="240">
        <v>5</v>
      </c>
      <c r="G49" s="241">
        <f>C49/F49</f>
        <v>89856</v>
      </c>
      <c r="H49" s="25" t="s">
        <v>175</v>
      </c>
      <c r="I49" s="81"/>
      <c r="J49" s="129">
        <v>200000</v>
      </c>
      <c r="K49" s="7"/>
      <c r="L49" s="7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28" ht="12.75" customHeight="1" thickBo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W50" s="224" t="s">
        <v>308</v>
      </c>
      <c r="X50" s="225"/>
      <c r="Y50" s="225"/>
      <c r="Z50" s="225"/>
      <c r="AA50" s="225"/>
      <c r="AB50" s="233"/>
    </row>
    <row r="51" spans="1:28" ht="12.75" customHeight="1" thickBot="1">
      <c r="A51" s="1">
        <f t="shared" si="0"/>
        <v>51</v>
      </c>
      <c r="B51" s="138" t="s">
        <v>180</v>
      </c>
      <c r="C51" s="175">
        <v>162000</v>
      </c>
      <c r="D51" s="268">
        <v>0.6666666666666666</v>
      </c>
      <c r="E51" s="141">
        <f t="shared" si="6"/>
        <v>108000</v>
      </c>
      <c r="F51" s="240">
        <v>2</v>
      </c>
      <c r="G51" s="241">
        <f>C51/F51</f>
        <v>81000</v>
      </c>
      <c r="H51" s="25" t="s">
        <v>181</v>
      </c>
      <c r="I51" s="85"/>
      <c r="J51" s="129"/>
      <c r="K51" s="7"/>
      <c r="L51" s="9"/>
      <c r="W51" s="220" t="s">
        <v>306</v>
      </c>
      <c r="X51" s="226"/>
      <c r="Y51" s="226"/>
      <c r="Z51" s="226"/>
      <c r="AA51" s="226"/>
      <c r="AB51" s="234"/>
    </row>
    <row r="52" spans="1:28" ht="12.75" customHeight="1" thickBot="1">
      <c r="A52" s="1">
        <f t="shared" si="0"/>
        <v>52</v>
      </c>
      <c r="B52" s="25" t="s">
        <v>183</v>
      </c>
      <c r="C52" s="140">
        <v>10000</v>
      </c>
      <c r="D52" s="269">
        <v>0.6354166666666666</v>
      </c>
      <c r="E52" s="141">
        <f t="shared" si="6"/>
        <v>6354.166666666666</v>
      </c>
      <c r="F52" s="7"/>
      <c r="H52" s="25" t="s">
        <v>184</v>
      </c>
      <c r="I52" s="85"/>
      <c r="J52" s="129"/>
      <c r="K52" s="7"/>
      <c r="L52" s="9"/>
      <c r="W52" s="227"/>
      <c r="X52" s="228" t="s">
        <v>310</v>
      </c>
      <c r="Y52" s="229"/>
      <c r="Z52" s="229"/>
      <c r="AA52" s="229"/>
      <c r="AB52" s="235"/>
    </row>
    <row r="53" spans="1:28" ht="12.75" customHeight="1" thickBot="1">
      <c r="A53" s="1">
        <f t="shared" si="0"/>
        <v>53</v>
      </c>
      <c r="B53" s="25" t="s">
        <v>186</v>
      </c>
      <c r="C53" s="140">
        <v>25000</v>
      </c>
      <c r="D53" s="269">
        <v>0.75</v>
      </c>
      <c r="E53" s="141">
        <f t="shared" si="6"/>
        <v>18750</v>
      </c>
      <c r="F53" s="7"/>
      <c r="H53" s="25" t="s">
        <v>187</v>
      </c>
      <c r="I53" s="85"/>
      <c r="J53" s="129"/>
      <c r="K53" s="7"/>
      <c r="L53" s="9"/>
      <c r="W53" s="224" t="s">
        <v>309</v>
      </c>
      <c r="X53" s="236"/>
      <c r="Y53" s="236"/>
      <c r="Z53" s="236"/>
      <c r="AA53" s="236"/>
      <c r="AB53" s="237"/>
    </row>
    <row r="54" spans="1:28" ht="12.75" customHeight="1">
      <c r="A54" s="1">
        <f t="shared" si="0"/>
        <v>54</v>
      </c>
      <c r="B54" s="25" t="s">
        <v>189</v>
      </c>
      <c r="C54" s="140">
        <v>10000</v>
      </c>
      <c r="D54" s="269">
        <v>0.6354166666666666</v>
      </c>
      <c r="E54" s="141">
        <f t="shared" si="6"/>
        <v>6354.166666666666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  <c r="W54" s="221" t="s">
        <v>284</v>
      </c>
      <c r="X54" s="217"/>
      <c r="Y54" s="217"/>
      <c r="Z54" s="217"/>
      <c r="AA54" s="217"/>
      <c r="AB54" s="230"/>
    </row>
    <row r="55" spans="1:28" ht="12.75" customHeight="1">
      <c r="A55" s="1">
        <f t="shared" si="0"/>
        <v>55</v>
      </c>
      <c r="B55" s="25" t="s">
        <v>192</v>
      </c>
      <c r="C55" s="140">
        <v>5000</v>
      </c>
      <c r="D55" s="269">
        <v>0.6666666666666666</v>
      </c>
      <c r="E55" s="141">
        <f t="shared" si="6"/>
        <v>3333.333333333333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  <c r="W55" s="209" t="s">
        <v>280</v>
      </c>
      <c r="X55" s="26"/>
      <c r="Y55" s="26"/>
      <c r="Z55" s="211">
        <v>10</v>
      </c>
      <c r="AA55" s="26"/>
      <c r="AB55" s="210"/>
    </row>
    <row r="56" spans="1:28" ht="12.75" customHeight="1">
      <c r="A56" s="1">
        <f t="shared" si="0"/>
        <v>56</v>
      </c>
      <c r="B56" s="25" t="s">
        <v>195</v>
      </c>
      <c r="C56" s="140">
        <v>15000</v>
      </c>
      <c r="D56" s="269">
        <v>0.6666666666666666</v>
      </c>
      <c r="E56" s="141">
        <f t="shared" si="6"/>
        <v>10000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  <c r="W56" s="209" t="s">
        <v>281</v>
      </c>
      <c r="X56" s="26"/>
      <c r="Y56" s="26"/>
      <c r="Z56" s="211">
        <v>3</v>
      </c>
      <c r="AA56" s="26"/>
      <c r="AB56" s="210"/>
    </row>
    <row r="57" spans="1:2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  <c r="W57" s="209" t="s">
        <v>282</v>
      </c>
      <c r="X57" s="26"/>
      <c r="Y57" s="26"/>
      <c r="Z57" s="211">
        <v>300</v>
      </c>
      <c r="AA57" s="26"/>
      <c r="AB57" s="210"/>
    </row>
    <row r="58" spans="1:28" ht="12.75" customHeight="1" thickBot="1">
      <c r="A58" s="1">
        <f t="shared" si="0"/>
        <v>58</v>
      </c>
      <c r="B58" s="25" t="s">
        <v>168</v>
      </c>
      <c r="C58" s="147">
        <f>SUM(C51:C57)</f>
        <v>277000</v>
      </c>
      <c r="D58" s="271">
        <f>E58/C58</f>
        <v>0.7140493381468112</v>
      </c>
      <c r="E58" s="141">
        <f>SUM(E51:E57)</f>
        <v>197791.6666666667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  <c r="W58" s="209" t="s">
        <v>283</v>
      </c>
      <c r="X58" s="26"/>
      <c r="Y58" s="26"/>
      <c r="Z58" s="211">
        <v>0</v>
      </c>
      <c r="AA58" s="26"/>
      <c r="AB58" s="210"/>
    </row>
    <row r="59" spans="1:2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  <c r="W59" s="209" t="s">
        <v>285</v>
      </c>
      <c r="X59" s="26"/>
      <c r="Y59" s="26"/>
      <c r="Z59" s="211">
        <v>50</v>
      </c>
      <c r="AA59" s="26"/>
      <c r="AB59" s="210"/>
    </row>
    <row r="60" spans="1:28" ht="12.75" customHeight="1">
      <c r="A60" s="1">
        <f t="shared" si="0"/>
        <v>60</v>
      </c>
      <c r="B60" s="25" t="s">
        <v>203</v>
      </c>
      <c r="C60" s="140">
        <v>250000</v>
      </c>
      <c r="D60" s="269">
        <v>0.9</v>
      </c>
      <c r="E60" s="141">
        <f>C60*D60</f>
        <v>225000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  <c r="W60" s="209" t="s">
        <v>300</v>
      </c>
      <c r="X60" s="26"/>
      <c r="Y60" s="26"/>
      <c r="Z60" s="216">
        <f>Z65/W64</f>
        <v>1250</v>
      </c>
      <c r="AA60" s="213"/>
      <c r="AB60" s="8"/>
    </row>
    <row r="61" spans="1:28" ht="12.75" customHeight="1">
      <c r="A61" s="1">
        <f t="shared" si="0"/>
        <v>61</v>
      </c>
      <c r="B61" s="25" t="s">
        <v>205</v>
      </c>
      <c r="C61" s="140">
        <v>125000</v>
      </c>
      <c r="D61" s="269">
        <v>0.9</v>
      </c>
      <c r="E61" s="141">
        <f>C61*D61</f>
        <v>112500</v>
      </c>
      <c r="F61" s="7"/>
      <c r="H61" s="25" t="s">
        <v>106</v>
      </c>
      <c r="I61" s="26"/>
      <c r="J61" s="157">
        <f>C22</f>
        <v>37</v>
      </c>
      <c r="K61" s="7"/>
      <c r="L61" s="9"/>
      <c r="M61" s="26"/>
      <c r="N61" s="79"/>
      <c r="O61" s="26"/>
      <c r="P61" s="156"/>
      <c r="Q61" s="79"/>
      <c r="R61" s="79"/>
      <c r="W61" s="209" t="s">
        <v>292</v>
      </c>
      <c r="X61" s="26"/>
      <c r="Y61" s="26"/>
      <c r="Z61" s="216">
        <f>Z65/Z66</f>
        <v>6.25</v>
      </c>
      <c r="AA61" s="26"/>
      <c r="AB61" s="210"/>
    </row>
    <row r="62" spans="1:2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15</v>
      </c>
      <c r="K62" s="7"/>
      <c r="L62" s="9"/>
      <c r="M62" s="26"/>
      <c r="N62" s="79"/>
      <c r="O62" s="26"/>
      <c r="P62" s="156"/>
      <c r="Q62" s="79"/>
      <c r="R62" s="79"/>
      <c r="W62" s="221" t="s">
        <v>295</v>
      </c>
      <c r="X62" s="217"/>
      <c r="Y62" s="217"/>
      <c r="Z62" s="217"/>
      <c r="AA62" s="217"/>
      <c r="AB62" s="230"/>
    </row>
    <row r="63" spans="1:28" ht="12.75" customHeight="1">
      <c r="A63" s="1">
        <f t="shared" si="0"/>
        <v>63</v>
      </c>
      <c r="B63" s="144" t="s">
        <v>208</v>
      </c>
      <c r="C63" s="145">
        <v>10000</v>
      </c>
      <c r="D63" s="270">
        <v>0.9</v>
      </c>
      <c r="E63" s="146">
        <f>C63*D63</f>
        <v>9000</v>
      </c>
      <c r="F63" s="7"/>
      <c r="H63" s="144" t="s">
        <v>209</v>
      </c>
      <c r="I63" s="159"/>
      <c r="J63" s="160">
        <f>IF(J62=I66,J66,IF(J62=I67,J67,IF(J62=I68,J68,IF(J62=I69,J69,IF(J62=I70,J70,J71)))))</f>
        <v>0.146</v>
      </c>
      <c r="K63" s="7"/>
      <c r="L63" s="9"/>
      <c r="M63" s="26"/>
      <c r="N63" s="79"/>
      <c r="O63" s="26"/>
      <c r="P63" s="156"/>
      <c r="Q63" s="79"/>
      <c r="R63" s="79"/>
      <c r="W63" s="222" t="s">
        <v>286</v>
      </c>
      <c r="X63" s="218" t="s">
        <v>287</v>
      </c>
      <c r="Y63" s="218" t="s">
        <v>288</v>
      </c>
      <c r="Z63" s="218" t="s">
        <v>289</v>
      </c>
      <c r="AA63" s="218" t="s">
        <v>290</v>
      </c>
      <c r="AB63" s="231" t="s">
        <v>291</v>
      </c>
    </row>
    <row r="64" spans="1:28" ht="12.75" customHeight="1" thickBot="1">
      <c r="A64" s="1">
        <f t="shared" si="0"/>
        <v>64</v>
      </c>
      <c r="B64" s="25" t="s">
        <v>168</v>
      </c>
      <c r="C64" s="147">
        <f>SUM(C60:C63)</f>
        <v>395000</v>
      </c>
      <c r="D64" s="271">
        <f>E64/C64</f>
        <v>0.9</v>
      </c>
      <c r="E64" s="141">
        <f>SUM(E60:E63)</f>
        <v>355500</v>
      </c>
      <c r="F64" s="7"/>
      <c r="H64" s="161" t="s">
        <v>210</v>
      </c>
      <c r="I64" s="162"/>
      <c r="J64" s="163">
        <f>J60*J63</f>
        <v>29199.999999999996</v>
      </c>
      <c r="K64" s="7"/>
      <c r="L64" s="9"/>
      <c r="M64" s="26"/>
      <c r="N64" s="79"/>
      <c r="O64" s="26"/>
      <c r="P64" s="156"/>
      <c r="Q64" s="79"/>
      <c r="R64" s="79"/>
      <c r="W64" s="223">
        <f>(X64*Y64)+Z64+(AA64*AB64)</f>
        <v>800</v>
      </c>
      <c r="X64" s="212">
        <f>Z55</f>
        <v>10</v>
      </c>
      <c r="Y64" s="212">
        <f>Z59</f>
        <v>50</v>
      </c>
      <c r="Z64" s="212">
        <f>Z57</f>
        <v>300</v>
      </c>
      <c r="AA64" s="212">
        <f>Z56</f>
        <v>3</v>
      </c>
      <c r="AB64" s="232">
        <f>Z58</f>
        <v>0</v>
      </c>
    </row>
    <row r="65" spans="1:2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  <c r="W65" s="209" t="s">
        <v>299</v>
      </c>
      <c r="X65" s="26"/>
      <c r="Y65" s="213"/>
      <c r="Z65" s="215">
        <v>1000000</v>
      </c>
      <c r="AA65" s="26"/>
      <c r="AB65" s="210"/>
    </row>
    <row r="66" spans="1:28" ht="12.75" customHeight="1">
      <c r="A66" s="1">
        <f aca="true" t="shared" si="7" ref="A66:A92">A65+1</f>
        <v>66</v>
      </c>
      <c r="B66" s="25" t="s">
        <v>215</v>
      </c>
      <c r="C66" s="140">
        <v>25000</v>
      </c>
      <c r="D66" s="269">
        <v>0.9</v>
      </c>
      <c r="E66" s="141">
        <f aca="true" t="shared" si="8" ref="E66:E71">C66*D66</f>
        <v>22500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  <c r="W66" s="209" t="s">
        <v>293</v>
      </c>
      <c r="X66" s="26"/>
      <c r="Y66" s="213"/>
      <c r="Z66" s="212">
        <f>W64*C26</f>
        <v>160000</v>
      </c>
      <c r="AA66" s="26"/>
      <c r="AB66" s="210"/>
    </row>
    <row r="67" spans="1:28" ht="12.75" customHeight="1">
      <c r="A67" s="1">
        <f t="shared" si="7"/>
        <v>67</v>
      </c>
      <c r="B67" s="25" t="s">
        <v>217</v>
      </c>
      <c r="C67" s="140">
        <v>20000</v>
      </c>
      <c r="D67" s="269">
        <v>0.9</v>
      </c>
      <c r="E67" s="141">
        <f t="shared" si="8"/>
        <v>18000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  <c r="W67" s="209" t="s">
        <v>294</v>
      </c>
      <c r="X67" s="26"/>
      <c r="Y67" s="26"/>
      <c r="Z67" s="219">
        <f>Z65/C26/365</f>
        <v>13.698630136986301</v>
      </c>
      <c r="AA67" s="26"/>
      <c r="AB67" s="210"/>
    </row>
    <row r="68" spans="1:2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  <c r="W68" s="221" t="s">
        <v>307</v>
      </c>
      <c r="X68" s="217"/>
      <c r="Y68" s="217"/>
      <c r="Z68" s="217"/>
      <c r="AA68" s="217"/>
      <c r="AB68" s="230"/>
    </row>
    <row r="69" spans="1:28" ht="12.75" customHeight="1">
      <c r="A69" s="1">
        <f t="shared" si="7"/>
        <v>69</v>
      </c>
      <c r="B69" s="25" t="s">
        <v>221</v>
      </c>
      <c r="C69" s="140">
        <v>10000</v>
      </c>
      <c r="D69" s="269">
        <v>0.5</v>
      </c>
      <c r="E69" s="141">
        <f t="shared" si="8"/>
        <v>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  <c r="W69" s="209" t="s">
        <v>296</v>
      </c>
      <c r="X69" s="26"/>
      <c r="Y69" s="26"/>
      <c r="Z69" s="26"/>
      <c r="AA69" s="26"/>
      <c r="AB69" s="210"/>
    </row>
    <row r="70" spans="1:28" ht="12.75" customHeight="1">
      <c r="A70" s="1">
        <f t="shared" si="7"/>
        <v>70</v>
      </c>
      <c r="B70" s="25" t="s">
        <v>223</v>
      </c>
      <c r="C70" s="140">
        <v>75000</v>
      </c>
      <c r="D70" s="269">
        <v>0.5</v>
      </c>
      <c r="E70" s="141">
        <f t="shared" si="8"/>
        <v>37500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  <c r="W70" s="209" t="s">
        <v>297</v>
      </c>
      <c r="X70" s="26"/>
      <c r="Y70" s="26"/>
      <c r="Z70" s="26"/>
      <c r="AA70" s="26"/>
      <c r="AB70" s="210"/>
    </row>
    <row r="71" spans="1:28" ht="12.75" customHeight="1" thickBot="1">
      <c r="A71" s="1">
        <f t="shared" si="7"/>
        <v>71</v>
      </c>
      <c r="B71" s="144" t="s">
        <v>225</v>
      </c>
      <c r="C71" s="145">
        <v>5000</v>
      </c>
      <c r="D71" s="270">
        <v>0.9</v>
      </c>
      <c r="E71" s="146">
        <f t="shared" si="8"/>
        <v>4500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  <c r="W71" s="178" t="s">
        <v>298</v>
      </c>
      <c r="X71" s="68"/>
      <c r="Y71" s="68"/>
      <c r="Z71" s="68"/>
      <c r="AA71" s="68"/>
      <c r="AB71" s="214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145000</v>
      </c>
      <c r="D72" s="271">
        <f>E72/C72</f>
        <v>0.6379310344827587</v>
      </c>
      <c r="E72" s="141">
        <f>SUM(E66:E71)</f>
        <v>92500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150000</v>
      </c>
      <c r="D74" s="269">
        <v>0.6</v>
      </c>
      <c r="E74" s="141">
        <f>C74*D74</f>
        <v>90000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25000</v>
      </c>
      <c r="D75" s="269">
        <v>0.75</v>
      </c>
      <c r="E75" s="141">
        <f>C75*D75</f>
        <v>18750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</v>
      </c>
      <c r="D76" s="269">
        <v>0.25</v>
      </c>
      <c r="E76" s="141">
        <f>C76*D76</f>
        <v>2500</v>
      </c>
      <c r="F76" s="7"/>
      <c r="H76" s="25" t="s">
        <v>234</v>
      </c>
      <c r="I76" s="26"/>
      <c r="J76" s="177">
        <f>C23*C26*1000/J75</f>
        <v>21276.59574468085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1021276.5957446808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285000</v>
      </c>
      <c r="D78" s="271">
        <f>E78/C78</f>
        <v>0.39035087719298245</v>
      </c>
      <c r="E78" s="179">
        <f>SUM(E74:E77)</f>
        <v>111250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250000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1858723.4042553192</v>
      </c>
      <c r="D81" s="269">
        <v>0.75</v>
      </c>
      <c r="E81" s="141">
        <f>C81*D81</f>
        <v>1394042.5531914893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120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2133723.4042553194</v>
      </c>
      <c r="D83" s="271">
        <f>E83/C83</f>
        <v>0.6638829336391284</v>
      </c>
      <c r="E83" s="186">
        <f>SUM(E80:E82)</f>
        <v>1416542.5531914893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149360.63829787239</v>
      </c>
      <c r="D85" s="273">
        <f>E85/C85</f>
        <v>0.6638829336391283</v>
      </c>
      <c r="E85" s="194">
        <f>$C$84*E83</f>
        <v>99157.97872340426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29199.999999999996</v>
      </c>
      <c r="D92" s="267">
        <v>1</v>
      </c>
      <c r="E92" s="128">
        <f>C92*D92</f>
        <v>29199.999999999996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5.00390625" style="3" customWidth="1"/>
    <col min="13" max="13" width="23.8515625" style="3" customWidth="1"/>
    <col min="14" max="14" width="22.00390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330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1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14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11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32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41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274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20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10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33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22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1970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37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14500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40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200</v>
      </c>
      <c r="D25" s="7"/>
      <c r="E25" s="25" t="s">
        <v>176</v>
      </c>
      <c r="F25" s="26"/>
      <c r="G25" s="79"/>
      <c r="H25" s="85"/>
      <c r="I25" s="131" t="s">
        <v>22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200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200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18.594103662683377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18.594103662683377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18.594103662683377</v>
      </c>
      <c r="C34" s="91">
        <v>1.1</v>
      </c>
      <c r="D34" s="92">
        <f>J38</f>
        <v>3.9106849315068497</v>
      </c>
      <c r="E34" s="92">
        <f>J39</f>
        <v>2.7094748858447493</v>
      </c>
      <c r="F34" s="92">
        <f>J40</f>
        <v>5.178082191780822</v>
      </c>
      <c r="G34" s="92">
        <f>J41</f>
        <v>1.2054794520547945</v>
      </c>
      <c r="H34" s="92">
        <f>J42</f>
        <v>1.523972602739726</v>
      </c>
      <c r="I34" s="92">
        <f>J43</f>
        <v>1.3137700378898283</v>
      </c>
      <c r="J34" s="92">
        <f>J44</f>
        <v>0.6986301369863014</v>
      </c>
      <c r="K34" s="93">
        <f>J45</f>
        <v>0.3999999999999999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449280</v>
      </c>
      <c r="D38" s="104">
        <f aca="true" t="shared" si="1" ref="D38:D45">C38/$C$26</f>
        <v>2246.4</v>
      </c>
      <c r="E38" s="105">
        <f aca="true" t="shared" si="2" ref="E38:E45">C38/$C$26/365</f>
        <v>6.154520547945205</v>
      </c>
      <c r="F38" s="106">
        <f>C38-H38</f>
        <v>163800</v>
      </c>
      <c r="G38" s="107">
        <f aca="true" t="shared" si="3" ref="G38:G45">IF(C38=0,0,H38/C38)</f>
        <v>0.6354166666666666</v>
      </c>
      <c r="H38" s="103">
        <f>E49</f>
        <v>285480</v>
      </c>
      <c r="I38" s="108">
        <f aca="true" t="shared" si="4" ref="I38:I45">H38/$C$26</f>
        <v>1427.4</v>
      </c>
      <c r="J38" s="109">
        <f aca="true" t="shared" si="5" ref="J38:J45">H38/$C$26/365</f>
        <v>3.9106849315068497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2900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277000</v>
      </c>
      <c r="D39" s="104">
        <f t="shared" si="1"/>
        <v>1385</v>
      </c>
      <c r="E39" s="105">
        <f t="shared" si="2"/>
        <v>3.7945205479452055</v>
      </c>
      <c r="F39" s="106">
        <f>C39-H39</f>
        <v>79208.33333333331</v>
      </c>
      <c r="G39" s="110">
        <f t="shared" si="3"/>
        <v>0.7140493381468112</v>
      </c>
      <c r="H39" s="103">
        <f>E58</f>
        <v>197791.6666666667</v>
      </c>
      <c r="I39" s="104">
        <f t="shared" si="4"/>
        <v>988.9583333333335</v>
      </c>
      <c r="J39" s="109">
        <f t="shared" si="5"/>
        <v>2.7094748858447493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420000</v>
      </c>
      <c r="D40" s="104">
        <f t="shared" si="1"/>
        <v>2100</v>
      </c>
      <c r="E40" s="105">
        <f t="shared" si="2"/>
        <v>5.7534246575342465</v>
      </c>
      <c r="F40" s="106">
        <f>C40-H40</f>
        <v>42000</v>
      </c>
      <c r="G40" s="110">
        <f t="shared" si="3"/>
        <v>0.9</v>
      </c>
      <c r="H40" s="103">
        <f>E64</f>
        <v>378000</v>
      </c>
      <c r="I40" s="104">
        <f t="shared" si="4"/>
        <v>1890</v>
      </c>
      <c r="J40" s="109">
        <f t="shared" si="5"/>
        <v>5.178082191780822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140000</v>
      </c>
      <c r="D41" s="104">
        <f t="shared" si="1"/>
        <v>700</v>
      </c>
      <c r="E41" s="105">
        <f t="shared" si="2"/>
        <v>1.917808219178082</v>
      </c>
      <c r="F41" s="106">
        <f>C41-H41</f>
        <v>52000</v>
      </c>
      <c r="G41" s="110">
        <f t="shared" si="3"/>
        <v>0.6285714285714286</v>
      </c>
      <c r="H41" s="103">
        <f>E72</f>
        <v>88000</v>
      </c>
      <c r="I41" s="104">
        <f t="shared" si="4"/>
        <v>440</v>
      </c>
      <c r="J41" s="109">
        <f t="shared" si="5"/>
        <v>1.2054794520547945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285000</v>
      </c>
      <c r="D42" s="104">
        <f t="shared" si="1"/>
        <v>1425</v>
      </c>
      <c r="E42" s="105">
        <f t="shared" si="2"/>
        <v>3.904109589041096</v>
      </c>
      <c r="F42" s="106">
        <f>C78-E78</f>
        <v>173750</v>
      </c>
      <c r="G42" s="110">
        <f t="shared" si="3"/>
        <v>0.39035087719298245</v>
      </c>
      <c r="H42" s="103">
        <f>E78</f>
        <v>111250</v>
      </c>
      <c r="I42" s="104">
        <f t="shared" si="4"/>
        <v>556.25</v>
      </c>
      <c r="J42" s="109">
        <f t="shared" si="5"/>
        <v>1.523972602739726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145023.61702127662</v>
      </c>
      <c r="D43" s="104">
        <f t="shared" si="1"/>
        <v>725.1180851063831</v>
      </c>
      <c r="E43" s="105">
        <f t="shared" si="2"/>
        <v>1.9866248907024193</v>
      </c>
      <c r="F43" s="106">
        <f>C43-H43</f>
        <v>49118.404255319154</v>
      </c>
      <c r="G43" s="110">
        <f t="shared" si="3"/>
        <v>0.6613075493206536</v>
      </c>
      <c r="H43" s="103">
        <f>E85</f>
        <v>95905.21276595746</v>
      </c>
      <c r="I43" s="104">
        <f t="shared" si="4"/>
        <v>479.5260638297873</v>
      </c>
      <c r="J43" s="109">
        <f t="shared" si="5"/>
        <v>1.3137700378898283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300</v>
      </c>
      <c r="E44" s="105">
        <f t="shared" si="2"/>
        <v>0.821917808219178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255</v>
      </c>
      <c r="J44" s="109">
        <f t="shared" si="5"/>
        <v>0.6986301369863014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29199.999999999996</v>
      </c>
      <c r="D45" s="113">
        <f t="shared" si="1"/>
        <v>145.99999999999997</v>
      </c>
      <c r="E45" s="114">
        <f t="shared" si="2"/>
        <v>0.3999999999999999</v>
      </c>
      <c r="F45" s="112">
        <f>C45-H45</f>
        <v>0</v>
      </c>
      <c r="G45" s="115">
        <f t="shared" si="3"/>
        <v>1</v>
      </c>
      <c r="H45" s="116">
        <f>E92</f>
        <v>29199.999999999996</v>
      </c>
      <c r="I45" s="113">
        <f t="shared" si="4"/>
        <v>145.99999999999997</v>
      </c>
      <c r="J45" s="117">
        <f t="shared" si="5"/>
        <v>0.3999999999999999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1805503.6170212766</v>
      </c>
      <c r="D46" s="119">
        <f>SUM(D38:D45)</f>
        <v>9027.518085106383</v>
      </c>
      <c r="E46" s="120">
        <f>SUM(E38:E45)</f>
        <v>24.73292626056543</v>
      </c>
      <c r="F46" s="119">
        <f>SUM(F38:F45)</f>
        <v>568876.7375886524</v>
      </c>
      <c r="G46" s="121">
        <f>H46/C46</f>
        <v>0.684920743317487</v>
      </c>
      <c r="H46" s="118">
        <f>SUM(H38:H45)</f>
        <v>1236626.8794326242</v>
      </c>
      <c r="I46" s="118">
        <f>SUM(I38:I45)</f>
        <v>6183.134397163121</v>
      </c>
      <c r="J46" s="122">
        <f>SUM(J38:J45)</f>
        <v>16.94009423880307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449280</v>
      </c>
      <c r="D49" s="267">
        <v>0.6354166666666666</v>
      </c>
      <c r="E49" s="141">
        <f aca="true" t="shared" si="6" ref="E49:E57">C49*D49</f>
        <v>285480</v>
      </c>
      <c r="F49" s="240">
        <v>5</v>
      </c>
      <c r="G49" s="241">
        <f>C49/F49</f>
        <v>89856</v>
      </c>
      <c r="H49" s="25" t="s">
        <v>175</v>
      </c>
      <c r="I49" s="81"/>
      <c r="J49" s="129">
        <v>200000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162000</v>
      </c>
      <c r="D51" s="268">
        <v>0.6666666666666666</v>
      </c>
      <c r="E51" s="141">
        <f t="shared" si="6"/>
        <v>108000</v>
      </c>
      <c r="F51" s="240">
        <v>2</v>
      </c>
      <c r="G51" s="241">
        <f>C51/F51</f>
        <v>81000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10000</v>
      </c>
      <c r="D52" s="269">
        <v>0.6354166666666666</v>
      </c>
      <c r="E52" s="141">
        <f t="shared" si="6"/>
        <v>6354.166666666666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25000</v>
      </c>
      <c r="D53" s="269">
        <v>0.75</v>
      </c>
      <c r="E53" s="141">
        <f t="shared" si="6"/>
        <v>18750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10000</v>
      </c>
      <c r="D54" s="269">
        <v>0.6354166666666666</v>
      </c>
      <c r="E54" s="141">
        <f t="shared" si="6"/>
        <v>6354.166666666666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5000</v>
      </c>
      <c r="D55" s="269">
        <v>0.6666666666666666</v>
      </c>
      <c r="E55" s="141">
        <f t="shared" si="6"/>
        <v>3333.333333333333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15000</v>
      </c>
      <c r="D56" s="269">
        <v>0.6666666666666666</v>
      </c>
      <c r="E56" s="141">
        <f t="shared" si="6"/>
        <v>10000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277000</v>
      </c>
      <c r="D58" s="271">
        <f>E58/C58</f>
        <v>0.7140493381468112</v>
      </c>
      <c r="E58" s="141">
        <f>SUM(E51:E57)</f>
        <v>197791.6666666667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275000</v>
      </c>
      <c r="D60" s="269">
        <v>0.9</v>
      </c>
      <c r="E60" s="141">
        <f>C60*D60</f>
        <v>247500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125000</v>
      </c>
      <c r="D61" s="269">
        <v>0.9</v>
      </c>
      <c r="E61" s="141">
        <f>C61*D61</f>
        <v>112500</v>
      </c>
      <c r="F61" s="7"/>
      <c r="H61" s="25" t="s">
        <v>106</v>
      </c>
      <c r="I61" s="26"/>
      <c r="J61" s="157">
        <f>C22</f>
        <v>37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15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10000</v>
      </c>
      <c r="D63" s="270">
        <v>0.9</v>
      </c>
      <c r="E63" s="146">
        <f>C63*D63</f>
        <v>9000</v>
      </c>
      <c r="F63" s="7"/>
      <c r="H63" s="144" t="s">
        <v>209</v>
      </c>
      <c r="I63" s="159"/>
      <c r="J63" s="160">
        <f>IF(J62=I66,J66,IF(J62=I67,J67,IF(J62=I68,J68,IF(J62=I69,J69,IF(J62=I70,J70,J71)))))</f>
        <v>0.146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420000</v>
      </c>
      <c r="D64" s="271">
        <f>E64/C64</f>
        <v>0.9</v>
      </c>
      <c r="E64" s="141">
        <f>SUM(E60:E63)</f>
        <v>378000</v>
      </c>
      <c r="F64" s="7"/>
      <c r="H64" s="161" t="s">
        <v>210</v>
      </c>
      <c r="I64" s="162"/>
      <c r="J64" s="163">
        <f>J60*J63</f>
        <v>29199.999999999996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3">A65+1</f>
        <v>66</v>
      </c>
      <c r="B66" s="25" t="s">
        <v>215</v>
      </c>
      <c r="C66" s="140">
        <v>20000</v>
      </c>
      <c r="D66" s="269">
        <v>0.9</v>
      </c>
      <c r="E66" s="141">
        <f aca="true" t="shared" si="8" ref="E66:E71">C66*D66</f>
        <v>18000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20000</v>
      </c>
      <c r="D67" s="269">
        <v>0.9</v>
      </c>
      <c r="E67" s="141">
        <f t="shared" si="8"/>
        <v>18000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10000</v>
      </c>
      <c r="D69" s="269">
        <v>0.5</v>
      </c>
      <c r="E69" s="141">
        <f t="shared" si="8"/>
        <v>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75000</v>
      </c>
      <c r="D70" s="269">
        <v>0.5</v>
      </c>
      <c r="E70" s="141">
        <f t="shared" si="8"/>
        <v>37500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5000</v>
      </c>
      <c r="D71" s="270">
        <v>0.9</v>
      </c>
      <c r="E71" s="146">
        <f t="shared" si="8"/>
        <v>4500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140000</v>
      </c>
      <c r="D72" s="271">
        <f>E72/C72</f>
        <v>0.6285714285714286</v>
      </c>
      <c r="E72" s="141">
        <f>SUM(E66:E71)</f>
        <v>88000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150000</v>
      </c>
      <c r="D74" s="269">
        <v>0.6</v>
      </c>
      <c r="E74" s="141">
        <f>C74*D74</f>
        <v>90000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25000</v>
      </c>
      <c r="D75" s="269">
        <v>0.75</v>
      </c>
      <c r="E75" s="141">
        <f>C75*D75</f>
        <v>18750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</v>
      </c>
      <c r="D76" s="269">
        <v>0.25</v>
      </c>
      <c r="E76" s="141">
        <f>C76*D76</f>
        <v>2500</v>
      </c>
      <c r="F76" s="7"/>
      <c r="H76" s="25" t="s">
        <v>234</v>
      </c>
      <c r="I76" s="26"/>
      <c r="J76" s="177">
        <f>C23*C26*1000/J75</f>
        <v>20567.375886524824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100000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987234.0425531915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285000</v>
      </c>
      <c r="D78" s="271">
        <f>E78/C78</f>
        <v>0.39035087719298245</v>
      </c>
      <c r="E78" s="179">
        <f>SUM(E74:E77)</f>
        <v>111250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250000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1796765.9574468087</v>
      </c>
      <c r="D81" s="269">
        <v>0.75</v>
      </c>
      <c r="E81" s="141">
        <f>C81*D81</f>
        <v>1347574.4680851065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116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2071765.9574468087</v>
      </c>
      <c r="D83" s="271">
        <f>E83/C83</f>
        <v>0.6613075493206535</v>
      </c>
      <c r="E83" s="186">
        <f>SUM(E80:E82)</f>
        <v>1370074.4680851065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145023.61702127662</v>
      </c>
      <c r="D85" s="273">
        <f>E85/C85</f>
        <v>0.6613075493206536</v>
      </c>
      <c r="E85" s="194">
        <f>$C$84*E83</f>
        <v>95905.21276595746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29199.999999999996</v>
      </c>
      <c r="D92" s="267">
        <v>1</v>
      </c>
      <c r="E92" s="128">
        <f>C92*D92</f>
        <v>29199.999999999996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  <row r="93" spans="1:18" ht="12.75">
      <c r="A93" s="1">
        <f t="shared" si="7"/>
        <v>93</v>
      </c>
      <c r="B93" s="149"/>
      <c r="C93" s="200"/>
      <c r="D93" s="200"/>
      <c r="E93" s="200"/>
      <c r="F93" s="200"/>
      <c r="G93" s="201"/>
      <c r="H93" s="201"/>
      <c r="I93" s="202"/>
      <c r="J93" s="203"/>
      <c r="K93" s="203"/>
      <c r="L93" s="203"/>
      <c r="M93" s="204"/>
      <c r="N93" s="204"/>
      <c r="O93" s="204"/>
      <c r="P93" s="204"/>
      <c r="Q93" s="204"/>
      <c r="R93" s="204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7109375" style="3" customWidth="1"/>
    <col min="14" max="14" width="23.281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323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1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22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269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80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8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33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2001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6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12000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250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390.625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640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640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17.46737118785428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17.46737118785428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17.46737118785428</v>
      </c>
      <c r="C34" s="91">
        <v>1.1</v>
      </c>
      <c r="D34" s="92">
        <f>J38</f>
        <v>5.709760273972603</v>
      </c>
      <c r="E34" s="92">
        <f>J39</f>
        <v>2.1361901053967878</v>
      </c>
      <c r="F34" s="92">
        <f>J40</f>
        <v>2.754708904109589</v>
      </c>
      <c r="G34" s="92">
        <f>J41</f>
        <v>0.819777397260274</v>
      </c>
      <c r="H34" s="92">
        <f>J42</f>
        <v>4.120291095890411</v>
      </c>
      <c r="I34" s="92">
        <f>J43</f>
        <v>0.006742294520547946</v>
      </c>
      <c r="J34" s="92">
        <f>J44</f>
        <v>0.2183219178082192</v>
      </c>
      <c r="K34" s="93">
        <f>J45</f>
        <v>0.12499999999999999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1497600</v>
      </c>
      <c r="D38" s="104">
        <f aca="true" t="shared" si="1" ref="D38:D45">C38/$C$26</f>
        <v>2340</v>
      </c>
      <c r="E38" s="105">
        <f aca="true" t="shared" si="2" ref="E38:E45">C38/$C$26/365</f>
        <v>6.410958904109589</v>
      </c>
      <c r="F38" s="106">
        <f>C38-H38</f>
        <v>163800</v>
      </c>
      <c r="G38" s="107">
        <f aca="true" t="shared" si="3" ref="G38:G45">IF(C38=0,0,H38/C38)</f>
        <v>0.890625</v>
      </c>
      <c r="H38" s="103">
        <f>E49</f>
        <v>1333800</v>
      </c>
      <c r="I38" s="108">
        <f aca="true" t="shared" si="4" ref="I38:I45">H38/$C$26</f>
        <v>2084.0625</v>
      </c>
      <c r="J38" s="109">
        <f aca="true" t="shared" si="5" ref="J38:J45">H38/$C$26/365</f>
        <v>5.709760273972603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7680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581500</v>
      </c>
      <c r="D39" s="104">
        <f t="shared" si="1"/>
        <v>908.59375</v>
      </c>
      <c r="E39" s="105">
        <f t="shared" si="2"/>
        <v>2.4892979452054793</v>
      </c>
      <c r="F39" s="106">
        <f>C39-H39</f>
        <v>82485.99137931038</v>
      </c>
      <c r="G39" s="110">
        <f t="shared" si="3"/>
        <v>0.8581496278945652</v>
      </c>
      <c r="H39" s="103">
        <f>E58</f>
        <v>499014.0086206896</v>
      </c>
      <c r="I39" s="104">
        <f t="shared" si="4"/>
        <v>779.7093884698276</v>
      </c>
      <c r="J39" s="109">
        <f t="shared" si="5"/>
        <v>2.1361901053967878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715000</v>
      </c>
      <c r="D40" s="104">
        <f t="shared" si="1"/>
        <v>1117.1875</v>
      </c>
      <c r="E40" s="105">
        <f t="shared" si="2"/>
        <v>3.0607876712328768</v>
      </c>
      <c r="F40" s="106">
        <f>C40-H40</f>
        <v>71500</v>
      </c>
      <c r="G40" s="110">
        <f t="shared" si="3"/>
        <v>0.9</v>
      </c>
      <c r="H40" s="103">
        <f>E64</f>
        <v>643500</v>
      </c>
      <c r="I40" s="104">
        <f t="shared" si="4"/>
        <v>1005.46875</v>
      </c>
      <c r="J40" s="109">
        <f t="shared" si="5"/>
        <v>2.754708904109589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335000</v>
      </c>
      <c r="D41" s="104">
        <f t="shared" si="1"/>
        <v>523.4375</v>
      </c>
      <c r="E41" s="105">
        <f t="shared" si="2"/>
        <v>1.4340753424657535</v>
      </c>
      <c r="F41" s="106">
        <f>C41-H41</f>
        <v>143500</v>
      </c>
      <c r="G41" s="110">
        <f t="shared" si="3"/>
        <v>0.5716417910447761</v>
      </c>
      <c r="H41" s="103">
        <f>E72</f>
        <v>191500</v>
      </c>
      <c r="I41" s="104">
        <f t="shared" si="4"/>
        <v>299.21875</v>
      </c>
      <c r="J41" s="109">
        <f t="shared" si="5"/>
        <v>0.819777397260274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2100000</v>
      </c>
      <c r="D42" s="104">
        <f t="shared" si="1"/>
        <v>3281.25</v>
      </c>
      <c r="E42" s="105">
        <f t="shared" si="2"/>
        <v>8.98972602739726</v>
      </c>
      <c r="F42" s="106">
        <f>C78-E78</f>
        <v>1137500</v>
      </c>
      <c r="G42" s="110">
        <f t="shared" si="3"/>
        <v>0.4583333333333333</v>
      </c>
      <c r="H42" s="103">
        <f>E78</f>
        <v>962500</v>
      </c>
      <c r="I42" s="104">
        <f t="shared" si="4"/>
        <v>1503.90625</v>
      </c>
      <c r="J42" s="109">
        <f t="shared" si="5"/>
        <v>4.120291095890411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141750</v>
      </c>
      <c r="D43" s="104">
        <f t="shared" si="1"/>
        <v>221.484375</v>
      </c>
      <c r="E43" s="105">
        <f t="shared" si="2"/>
        <v>0.606806506849315</v>
      </c>
      <c r="F43" s="106">
        <f>C43-H43</f>
        <v>140175</v>
      </c>
      <c r="G43" s="110">
        <f t="shared" si="3"/>
        <v>0.011111111111111113</v>
      </c>
      <c r="H43" s="103">
        <f>E85</f>
        <v>1575.0000000000002</v>
      </c>
      <c r="I43" s="104">
        <f t="shared" si="4"/>
        <v>2.4609375000000004</v>
      </c>
      <c r="J43" s="109">
        <f t="shared" si="5"/>
        <v>0.006742294520547946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93.75</v>
      </c>
      <c r="E44" s="105">
        <f t="shared" si="2"/>
        <v>0.2568493150684932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79.6875</v>
      </c>
      <c r="J44" s="109">
        <f t="shared" si="5"/>
        <v>0.2183219178082192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29199.999999999996</v>
      </c>
      <c r="D45" s="113">
        <f t="shared" si="1"/>
        <v>45.62499999999999</v>
      </c>
      <c r="E45" s="114">
        <f t="shared" si="2"/>
        <v>0.12499999999999999</v>
      </c>
      <c r="F45" s="112">
        <f>C45-H45</f>
        <v>0</v>
      </c>
      <c r="G45" s="115">
        <f t="shared" si="3"/>
        <v>1</v>
      </c>
      <c r="H45" s="116">
        <f>E92</f>
        <v>29199.999999999996</v>
      </c>
      <c r="I45" s="113">
        <f t="shared" si="4"/>
        <v>45.62499999999999</v>
      </c>
      <c r="J45" s="117">
        <f t="shared" si="5"/>
        <v>0.12499999999999999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5460050</v>
      </c>
      <c r="D46" s="119">
        <f>SUM(D38:D45)</f>
        <v>8531.328125</v>
      </c>
      <c r="E46" s="120">
        <f>SUM(E38:E45)</f>
        <v>23.373501712328764</v>
      </c>
      <c r="F46" s="119">
        <f>SUM(F38:F45)</f>
        <v>1747960.9913793104</v>
      </c>
      <c r="G46" s="121">
        <f>H46/C46</f>
        <v>0.6798635559419217</v>
      </c>
      <c r="H46" s="118">
        <f>SUM(H38:H45)</f>
        <v>3712089.0086206896</v>
      </c>
      <c r="I46" s="118">
        <f>SUM(I38:I45)</f>
        <v>5800.139075969828</v>
      </c>
      <c r="J46" s="122">
        <f>SUM(J38:J45)</f>
        <v>15.890791988958433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1497600</v>
      </c>
      <c r="D49" s="267">
        <v>0.890625</v>
      </c>
      <c r="E49" s="141">
        <f aca="true" t="shared" si="6" ref="E49:E57">C49*D49</f>
        <v>1333800</v>
      </c>
      <c r="F49" s="240">
        <v>18</v>
      </c>
      <c r="G49" s="241">
        <f>C49/F49</f>
        <v>83200</v>
      </c>
      <c r="H49" s="25" t="s">
        <v>175</v>
      </c>
      <c r="I49" s="81"/>
      <c r="J49" s="129">
        <v>200000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391500</v>
      </c>
      <c r="D51" s="268">
        <v>0.8620689655172413</v>
      </c>
      <c r="E51" s="141">
        <f t="shared" si="6"/>
        <v>337500</v>
      </c>
      <c r="F51" s="240">
        <v>4</v>
      </c>
      <c r="G51" s="241">
        <f>C51/F51</f>
        <v>97875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25000</v>
      </c>
      <c r="D52" s="269">
        <v>0.890625</v>
      </c>
      <c r="E52" s="141">
        <f t="shared" si="6"/>
        <v>22265.625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25000</v>
      </c>
      <c r="D54" s="269">
        <v>0.890625</v>
      </c>
      <c r="E54" s="141">
        <f t="shared" si="6"/>
        <v>22265.625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15000</v>
      </c>
      <c r="D55" s="269">
        <v>0.8620689655172413</v>
      </c>
      <c r="E55" s="141">
        <f t="shared" si="6"/>
        <v>12931.03448275862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25000</v>
      </c>
      <c r="D56" s="269">
        <v>0.8620689655172413</v>
      </c>
      <c r="E56" s="141">
        <f t="shared" si="6"/>
        <v>21551.724137931033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581500</v>
      </c>
      <c r="D58" s="271">
        <f>E58/C58</f>
        <v>0.8581496278945652</v>
      </c>
      <c r="E58" s="141">
        <f>SUM(E51:E57)</f>
        <v>499014.0086206896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500000</v>
      </c>
      <c r="D60" s="269">
        <v>0.9</v>
      </c>
      <c r="E60" s="141">
        <f>C60*D60</f>
        <v>450000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200000</v>
      </c>
      <c r="D61" s="269">
        <v>0.9</v>
      </c>
      <c r="E61" s="141">
        <f>C61*D61</f>
        <v>180000</v>
      </c>
      <c r="F61" s="7"/>
      <c r="H61" s="25" t="s">
        <v>106</v>
      </c>
      <c r="I61" s="26"/>
      <c r="J61" s="157">
        <f>C22</f>
        <v>6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15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5000</v>
      </c>
      <c r="D63" s="270">
        <v>0.9</v>
      </c>
      <c r="E63" s="146">
        <f>C63*D63</f>
        <v>4500</v>
      </c>
      <c r="F63" s="7"/>
      <c r="H63" s="144" t="s">
        <v>209</v>
      </c>
      <c r="I63" s="159"/>
      <c r="J63" s="160">
        <f>IF(J62=I66,J66,IF(J62=I67,J67,IF(J62=I68,J68,IF(J62=I69,J69,IF(J62=I70,J70,J71)))))</f>
        <v>0.146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715000</v>
      </c>
      <c r="D64" s="271">
        <f>E64/C64</f>
        <v>0.9</v>
      </c>
      <c r="E64" s="141">
        <f>SUM(E60:E63)</f>
        <v>643500</v>
      </c>
      <c r="F64" s="7"/>
      <c r="H64" s="161" t="s">
        <v>210</v>
      </c>
      <c r="I64" s="162"/>
      <c r="J64" s="163">
        <f>J60*J63</f>
        <v>29199.999999999996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20000</v>
      </c>
      <c r="D66" s="269">
        <v>0.9</v>
      </c>
      <c r="E66" s="141">
        <f aca="true" t="shared" si="8" ref="E66:E71">C66*D66</f>
        <v>18000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20000</v>
      </c>
      <c r="D67" s="269">
        <v>0.9</v>
      </c>
      <c r="E67" s="141">
        <f t="shared" si="8"/>
        <v>18000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15000</v>
      </c>
      <c r="D69" s="269">
        <v>0.5</v>
      </c>
      <c r="E69" s="141">
        <f t="shared" si="8"/>
        <v>7500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250000</v>
      </c>
      <c r="D70" s="269">
        <v>0.5</v>
      </c>
      <c r="E70" s="141">
        <f t="shared" si="8"/>
        <v>125000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20000</v>
      </c>
      <c r="D71" s="270">
        <v>0.9</v>
      </c>
      <c r="E71" s="146">
        <f t="shared" si="8"/>
        <v>18000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335000</v>
      </c>
      <c r="D72" s="271">
        <f>E72/C72</f>
        <v>0.5716417910447761</v>
      </c>
      <c r="E72" s="141">
        <f>SUM(E66:E71)</f>
        <v>191500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1500000</v>
      </c>
      <c r="D74" s="269">
        <v>0.6</v>
      </c>
      <c r="E74" s="141">
        <f>C74*D74</f>
        <v>900000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75000</v>
      </c>
      <c r="D75" s="269">
        <v>0.75</v>
      </c>
      <c r="E75" s="141">
        <f>C75*D75</f>
        <v>56250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25000</v>
      </c>
      <c r="D76" s="269">
        <v>0.25</v>
      </c>
      <c r="E76" s="141">
        <f>C76*D76</f>
        <v>6250</v>
      </c>
      <c r="F76" s="7"/>
      <c r="H76" s="25" t="s">
        <v>234</v>
      </c>
      <c r="I76" s="26"/>
      <c r="J76" s="177">
        <f>C23*C26*1000/J75</f>
        <v>54468.085106382976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500000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2100000</v>
      </c>
      <c r="D78" s="271">
        <f>E78/C78</f>
        <v>0.4583333333333333</v>
      </c>
      <c r="E78" s="179">
        <f>SUM(E74:E77)</f>
        <v>962500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2000000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0.0999999999999998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307.2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2025000</v>
      </c>
      <c r="D83" s="271">
        <f>E83/C83</f>
        <v>0.011111111111111112</v>
      </c>
      <c r="E83" s="186">
        <f>SUM(E80:E82)</f>
        <v>22500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141750</v>
      </c>
      <c r="D85" s="273">
        <f>E85/C85</f>
        <v>0.011111111111111113</v>
      </c>
      <c r="E85" s="194">
        <f>$C$84*E83</f>
        <v>1575.0000000000002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29199.999999999996</v>
      </c>
      <c r="D92" s="267">
        <v>1</v>
      </c>
      <c r="E92" s="128">
        <f>C92*D92</f>
        <v>29199.999999999996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4.00390625" style="3" customWidth="1"/>
    <col min="14" max="14" width="23.574218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324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1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22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140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171.2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2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2003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4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10800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141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420.8955223880597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335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335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17.92778440351585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17.92778440351585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17.92778440351585</v>
      </c>
      <c r="C34" s="91">
        <v>1.1</v>
      </c>
      <c r="D34" s="92">
        <f>J38</f>
        <v>5.141525250460028</v>
      </c>
      <c r="E34" s="92">
        <f>J39</f>
        <v>3.1504197910068616</v>
      </c>
      <c r="F34" s="92">
        <f>J40</f>
        <v>2.281741975056226</v>
      </c>
      <c r="G34" s="92">
        <f>J41</f>
        <v>1.0100184011449602</v>
      </c>
      <c r="H34" s="92">
        <f>J42</f>
        <v>4.191371907585361</v>
      </c>
      <c r="I34" s="92">
        <f>J43</f>
        <v>0.0128808014720916</v>
      </c>
      <c r="J34" s="92">
        <f>J44</f>
        <v>0.41709261909629936</v>
      </c>
      <c r="K34" s="93">
        <f>J45</f>
        <v>0.10222858311183808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792480</v>
      </c>
      <c r="D38" s="104">
        <f aca="true" t="shared" si="1" ref="D38:D45">C38/$C$26</f>
        <v>2365.6119402985073</v>
      </c>
      <c r="E38" s="105">
        <f aca="true" t="shared" si="2" ref="E38:E45">C38/$C$26/365</f>
        <v>6.481128603557554</v>
      </c>
      <c r="F38" s="106">
        <f>C38-H38</f>
        <v>163800</v>
      </c>
      <c r="G38" s="107">
        <f aca="true" t="shared" si="3" ref="G38:G45">IF(C38=0,0,H38/C38)</f>
        <v>0.7933070866141733</v>
      </c>
      <c r="H38" s="103">
        <f>E49</f>
        <v>628680</v>
      </c>
      <c r="I38" s="108">
        <f aca="true" t="shared" si="4" ref="I38:I45">H38/$C$26</f>
        <v>1876.6567164179105</v>
      </c>
      <c r="J38" s="109">
        <f aca="true" t="shared" si="5" ref="J38:J45">H38/$C$26/365</f>
        <v>5.141525250460028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3618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460750</v>
      </c>
      <c r="D39" s="104">
        <f t="shared" si="1"/>
        <v>1375.3731343283582</v>
      </c>
      <c r="E39" s="105">
        <f t="shared" si="2"/>
        <v>3.7681455735023515</v>
      </c>
      <c r="F39" s="106">
        <f>C39-H39</f>
        <v>75532.42005463602</v>
      </c>
      <c r="G39" s="110">
        <f t="shared" si="3"/>
        <v>0.8360663699302529</v>
      </c>
      <c r="H39" s="103">
        <f>E58</f>
        <v>385217.579945364</v>
      </c>
      <c r="I39" s="104">
        <f t="shared" si="4"/>
        <v>1149.9032237175045</v>
      </c>
      <c r="J39" s="109">
        <f t="shared" si="5"/>
        <v>3.1504197910068616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310000</v>
      </c>
      <c r="D40" s="104">
        <f t="shared" si="1"/>
        <v>925.3731343283582</v>
      </c>
      <c r="E40" s="105">
        <f t="shared" si="2"/>
        <v>2.5352688611735843</v>
      </c>
      <c r="F40" s="106">
        <f>C40-H40</f>
        <v>31000</v>
      </c>
      <c r="G40" s="110">
        <f t="shared" si="3"/>
        <v>0.9</v>
      </c>
      <c r="H40" s="103">
        <f>E64</f>
        <v>279000</v>
      </c>
      <c r="I40" s="104">
        <f t="shared" si="4"/>
        <v>832.8358208955224</v>
      </c>
      <c r="J40" s="109">
        <f t="shared" si="5"/>
        <v>2.281741975056226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215000</v>
      </c>
      <c r="D41" s="104">
        <f t="shared" si="1"/>
        <v>641.7910447761194</v>
      </c>
      <c r="E41" s="105">
        <f t="shared" si="2"/>
        <v>1.7583316295236149</v>
      </c>
      <c r="F41" s="106">
        <f>C41-H41</f>
        <v>91500</v>
      </c>
      <c r="G41" s="110">
        <f t="shared" si="3"/>
        <v>0.5744186046511628</v>
      </c>
      <c r="H41" s="103">
        <f>E72</f>
        <v>123500</v>
      </c>
      <c r="I41" s="104">
        <f t="shared" si="4"/>
        <v>368.65671641791045</v>
      </c>
      <c r="J41" s="109">
        <f t="shared" si="5"/>
        <v>1.0100184011449602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1200000</v>
      </c>
      <c r="D42" s="104">
        <f t="shared" si="1"/>
        <v>3582.089552238806</v>
      </c>
      <c r="E42" s="105">
        <f t="shared" si="2"/>
        <v>9.813943978736454</v>
      </c>
      <c r="F42" s="106">
        <f>C78-E78</f>
        <v>687500</v>
      </c>
      <c r="G42" s="110">
        <f t="shared" si="3"/>
        <v>0.4270833333333333</v>
      </c>
      <c r="H42" s="103">
        <f>E78</f>
        <v>512500</v>
      </c>
      <c r="I42" s="104">
        <f t="shared" si="4"/>
        <v>1529.8507462686566</v>
      </c>
      <c r="J42" s="109">
        <f t="shared" si="5"/>
        <v>4.191371907585361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106750.00000000001</v>
      </c>
      <c r="D43" s="104">
        <f t="shared" si="1"/>
        <v>318.6567164179105</v>
      </c>
      <c r="E43" s="105">
        <f t="shared" si="2"/>
        <v>0.8730320997750972</v>
      </c>
      <c r="F43" s="106">
        <f>C43-H43</f>
        <v>105175.00000000001</v>
      </c>
      <c r="G43" s="110">
        <f t="shared" si="3"/>
        <v>0.014754098360655738</v>
      </c>
      <c r="H43" s="103">
        <f>E85</f>
        <v>1575.0000000000002</v>
      </c>
      <c r="I43" s="104">
        <f t="shared" si="4"/>
        <v>4.701492537313434</v>
      </c>
      <c r="J43" s="109">
        <f t="shared" si="5"/>
        <v>0.0128808014720916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179.1044776119403</v>
      </c>
      <c r="E44" s="105">
        <f t="shared" si="2"/>
        <v>0.49069719893682273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152.23880597014926</v>
      </c>
      <c r="J44" s="109">
        <f t="shared" si="5"/>
        <v>0.41709261909629936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12500</v>
      </c>
      <c r="D45" s="113">
        <f t="shared" si="1"/>
        <v>37.3134328358209</v>
      </c>
      <c r="E45" s="114">
        <f t="shared" si="2"/>
        <v>0.10222858311183808</v>
      </c>
      <c r="F45" s="112">
        <f>C45-H45</f>
        <v>0</v>
      </c>
      <c r="G45" s="115">
        <f t="shared" si="3"/>
        <v>1</v>
      </c>
      <c r="H45" s="116">
        <f>E92</f>
        <v>12500</v>
      </c>
      <c r="I45" s="113">
        <f t="shared" si="4"/>
        <v>37.3134328358209</v>
      </c>
      <c r="J45" s="117">
        <f t="shared" si="5"/>
        <v>0.10222858311183808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3157480</v>
      </c>
      <c r="D46" s="119">
        <f>SUM(D38:D45)</f>
        <v>9425.313432835821</v>
      </c>
      <c r="E46" s="120">
        <f>SUM(E38:E45)</f>
        <v>25.822776528317316</v>
      </c>
      <c r="F46" s="119">
        <f>SUM(F38:F45)</f>
        <v>1163507.420054636</v>
      </c>
      <c r="G46" s="121">
        <f>H46/C46</f>
        <v>0.6315075883126303</v>
      </c>
      <c r="H46" s="118">
        <f>SUM(H38:H45)</f>
        <v>1993972.579945364</v>
      </c>
      <c r="I46" s="118">
        <f>SUM(I38:I45)</f>
        <v>5952.156955060787</v>
      </c>
      <c r="J46" s="122">
        <f>SUM(J38:J45)</f>
        <v>16.307279328933667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792480</v>
      </c>
      <c r="D49" s="267">
        <v>0.7933070866141733</v>
      </c>
      <c r="E49" s="141">
        <f aca="true" t="shared" si="6" ref="E49:E57">C49*D49</f>
        <v>628680</v>
      </c>
      <c r="F49" s="240">
        <v>9</v>
      </c>
      <c r="G49" s="241">
        <f>C49/F49</f>
        <v>88053.33333333333</v>
      </c>
      <c r="H49" s="25" t="s">
        <v>175</v>
      </c>
      <c r="I49" s="81"/>
      <c r="J49" s="129">
        <v>100000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330750</v>
      </c>
      <c r="D51" s="268">
        <v>0.8367346938775511</v>
      </c>
      <c r="E51" s="141">
        <f t="shared" si="6"/>
        <v>276750</v>
      </c>
      <c r="F51" s="240">
        <v>3</v>
      </c>
      <c r="G51" s="241">
        <f>C51/F51</f>
        <v>110250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15000</v>
      </c>
      <c r="D52" s="269">
        <v>0.7933070866141733</v>
      </c>
      <c r="E52" s="141">
        <f t="shared" si="6"/>
        <v>11899.606299212599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25000</v>
      </c>
      <c r="D53" s="269">
        <v>0.75</v>
      </c>
      <c r="E53" s="141">
        <f t="shared" si="6"/>
        <v>18750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15000</v>
      </c>
      <c r="D54" s="269">
        <v>0.7933070866141733</v>
      </c>
      <c r="E54" s="141">
        <f t="shared" si="6"/>
        <v>11899.606299212599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10000</v>
      </c>
      <c r="D55" s="269">
        <v>0.8367346938775511</v>
      </c>
      <c r="E55" s="141">
        <f t="shared" si="6"/>
        <v>8367.34693877551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15000</v>
      </c>
      <c r="D56" s="269">
        <v>0.8367346938775511</v>
      </c>
      <c r="E56" s="141">
        <f t="shared" si="6"/>
        <v>12551.020408163266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460750</v>
      </c>
      <c r="D58" s="271">
        <f>E58/C58</f>
        <v>0.8360663699302529</v>
      </c>
      <c r="E58" s="141">
        <f>SUM(E51:E57)</f>
        <v>385217.579945364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250000</v>
      </c>
      <c r="D60" s="269">
        <v>0.9</v>
      </c>
      <c r="E60" s="141">
        <f>C60*D60</f>
        <v>225000</v>
      </c>
      <c r="F60" s="7"/>
      <c r="H60" s="153" t="s">
        <v>204</v>
      </c>
      <c r="I60" s="154"/>
      <c r="J60" s="155">
        <f>SUM(J49:J59)</f>
        <v>100000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50000</v>
      </c>
      <c r="D61" s="269">
        <v>0.9</v>
      </c>
      <c r="E61" s="141">
        <f>C61*D61</f>
        <v>45000</v>
      </c>
      <c r="F61" s="7"/>
      <c r="H61" s="25" t="s">
        <v>106</v>
      </c>
      <c r="I61" s="26"/>
      <c r="J61" s="157">
        <f>C22</f>
        <v>4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5000</v>
      </c>
      <c r="D62" s="269">
        <v>0.9</v>
      </c>
      <c r="E62" s="141">
        <f>C62*D62</f>
        <v>4500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5000</v>
      </c>
      <c r="D63" s="270">
        <v>0.9</v>
      </c>
      <c r="E63" s="146">
        <f>C63*D63</f>
        <v>4500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310000</v>
      </c>
      <c r="D64" s="271">
        <f>E64/C64</f>
        <v>0.9</v>
      </c>
      <c r="E64" s="141">
        <f>SUM(E60:E63)</f>
        <v>279000</v>
      </c>
      <c r="F64" s="7"/>
      <c r="H64" s="161" t="s">
        <v>210</v>
      </c>
      <c r="I64" s="162"/>
      <c r="J64" s="163">
        <f>J60*J63</f>
        <v>12500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20000</v>
      </c>
      <c r="D66" s="269">
        <v>0.9</v>
      </c>
      <c r="E66" s="141">
        <f aca="true" t="shared" si="8" ref="E66:E71">C66*D66</f>
        <v>18000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10000</v>
      </c>
      <c r="D67" s="269">
        <v>0.9</v>
      </c>
      <c r="E67" s="141">
        <f t="shared" si="8"/>
        <v>9000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15000</v>
      </c>
      <c r="D69" s="269">
        <v>0.5</v>
      </c>
      <c r="E69" s="141">
        <f t="shared" si="8"/>
        <v>7500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150000</v>
      </c>
      <c r="D70" s="269">
        <v>0.5</v>
      </c>
      <c r="E70" s="141">
        <f t="shared" si="8"/>
        <v>75000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10000</v>
      </c>
      <c r="D71" s="270">
        <v>0.9</v>
      </c>
      <c r="E71" s="146">
        <f t="shared" si="8"/>
        <v>9000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215000</v>
      </c>
      <c r="D72" s="271">
        <f>E72/C72</f>
        <v>0.5744186046511628</v>
      </c>
      <c r="E72" s="141">
        <f>SUM(E66:E71)</f>
        <v>123500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750000</v>
      </c>
      <c r="D74" s="269">
        <v>0.6</v>
      </c>
      <c r="E74" s="141">
        <f>C74*D74</f>
        <v>450000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75000</v>
      </c>
      <c r="D75" s="269">
        <v>0.75</v>
      </c>
      <c r="E75" s="141">
        <f>C75*D75</f>
        <v>56250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25000</v>
      </c>
      <c r="D76" s="269">
        <v>0.25</v>
      </c>
      <c r="E76" s="141">
        <f>C76*D76</f>
        <v>6250</v>
      </c>
      <c r="F76" s="7"/>
      <c r="H76" s="25" t="s">
        <v>234</v>
      </c>
      <c r="I76" s="26"/>
      <c r="J76" s="177">
        <f>C23*C26*1000/J75</f>
        <v>25659.574468085106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350000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1200000</v>
      </c>
      <c r="D78" s="271">
        <f>E78/C78</f>
        <v>0.4270833333333333</v>
      </c>
      <c r="E78" s="179">
        <f>SUM(E74:E77)</f>
        <v>512500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1500000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0.0999999999999998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144.72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1525000</v>
      </c>
      <c r="D83" s="271">
        <f>E83/C83</f>
        <v>0.014754098360655738</v>
      </c>
      <c r="E83" s="186">
        <f>SUM(E80:E82)</f>
        <v>22500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106750.00000000001</v>
      </c>
      <c r="D85" s="273">
        <f>E85/C85</f>
        <v>0.014754098360655738</v>
      </c>
      <c r="E85" s="194">
        <f>$C$84*E83</f>
        <v>1575.0000000000002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12500</v>
      </c>
      <c r="D92" s="267">
        <v>1</v>
      </c>
      <c r="E92" s="128">
        <f>C92*D92</f>
        <v>12500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3.8515625" style="3" customWidth="1"/>
    <col min="14" max="14" width="24.00390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331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1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41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272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50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6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51" t="s">
        <v>59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54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2003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4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10000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125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416.6666666666667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300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300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22.17540646714764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22.17540646714764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22.17540646714764</v>
      </c>
      <c r="C34" s="91">
        <v>1.1</v>
      </c>
      <c r="D34" s="92">
        <f>J38</f>
        <v>5.7413698630136984</v>
      </c>
      <c r="E34" s="92">
        <f>J39</f>
        <v>3.6892016433366575</v>
      </c>
      <c r="F34" s="92">
        <f>J40</f>
        <v>3.041095890410959</v>
      </c>
      <c r="G34" s="92">
        <f>J41</f>
        <v>1.858447488584475</v>
      </c>
      <c r="H34" s="92">
        <f>J42</f>
        <v>5.0228310502283104</v>
      </c>
      <c r="I34" s="92">
        <f>J43</f>
        <v>0.13320606237248592</v>
      </c>
      <c r="J34" s="92">
        <f>J44</f>
        <v>0.4657534246575342</v>
      </c>
      <c r="K34" s="93">
        <f>J45</f>
        <v>0.228310502283105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792480</v>
      </c>
      <c r="D38" s="104">
        <f aca="true" t="shared" si="1" ref="D38:D45">C38/$C$26</f>
        <v>2641.6</v>
      </c>
      <c r="E38" s="105">
        <f aca="true" t="shared" si="2" ref="E38:E45">C38/$C$26/365</f>
        <v>7.237260273972603</v>
      </c>
      <c r="F38" s="106">
        <f>C38-H38</f>
        <v>163800</v>
      </c>
      <c r="G38" s="107">
        <f aca="true" t="shared" si="3" ref="G38:G45">IF(C38=0,0,H38/C38)</f>
        <v>0.7933070866141733</v>
      </c>
      <c r="H38" s="103">
        <f>E49</f>
        <v>628680</v>
      </c>
      <c r="I38" s="108">
        <f aca="true" t="shared" si="4" ref="I38:I45">H38/$C$26</f>
        <v>2095.6</v>
      </c>
      <c r="J38" s="109">
        <f aca="true" t="shared" si="5" ref="J38:J45">H38/$C$26/365</f>
        <v>5.7413698630136984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3000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485750</v>
      </c>
      <c r="D39" s="104">
        <f t="shared" si="1"/>
        <v>1619.1666666666667</v>
      </c>
      <c r="E39" s="105">
        <f t="shared" si="2"/>
        <v>4.436073059360731</v>
      </c>
      <c r="F39" s="106">
        <f>C39-H39</f>
        <v>81782.42005463602</v>
      </c>
      <c r="G39" s="110">
        <f t="shared" si="3"/>
        <v>0.8316368089456798</v>
      </c>
      <c r="H39" s="103">
        <f>E58</f>
        <v>403967.579945364</v>
      </c>
      <c r="I39" s="104">
        <f t="shared" si="4"/>
        <v>1346.55859981788</v>
      </c>
      <c r="J39" s="109">
        <f t="shared" si="5"/>
        <v>3.6892016433366575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370000</v>
      </c>
      <c r="D40" s="104">
        <f t="shared" si="1"/>
        <v>1233.3333333333333</v>
      </c>
      <c r="E40" s="105">
        <f t="shared" si="2"/>
        <v>3.378995433789954</v>
      </c>
      <c r="F40" s="106">
        <f>C40-H40</f>
        <v>37000</v>
      </c>
      <c r="G40" s="110">
        <f t="shared" si="3"/>
        <v>0.9</v>
      </c>
      <c r="H40" s="103">
        <f>E64</f>
        <v>333000</v>
      </c>
      <c r="I40" s="104">
        <f t="shared" si="4"/>
        <v>1110</v>
      </c>
      <c r="J40" s="109">
        <f t="shared" si="5"/>
        <v>3.041095890410959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295000</v>
      </c>
      <c r="D41" s="104">
        <f t="shared" si="1"/>
        <v>983.3333333333334</v>
      </c>
      <c r="E41" s="105">
        <f t="shared" si="2"/>
        <v>2.6940639269406392</v>
      </c>
      <c r="F41" s="106">
        <f>C41-H41</f>
        <v>91500</v>
      </c>
      <c r="G41" s="110">
        <f t="shared" si="3"/>
        <v>0.6898305084745763</v>
      </c>
      <c r="H41" s="103">
        <f>E72</f>
        <v>203500</v>
      </c>
      <c r="I41" s="104">
        <f t="shared" si="4"/>
        <v>678.3333333333334</v>
      </c>
      <c r="J41" s="109">
        <f t="shared" si="5"/>
        <v>1.858447488584475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1350000</v>
      </c>
      <c r="D42" s="104">
        <f t="shared" si="1"/>
        <v>4500</v>
      </c>
      <c r="E42" s="105">
        <f t="shared" si="2"/>
        <v>12.32876712328767</v>
      </c>
      <c r="F42" s="106">
        <f>C78-E78</f>
        <v>800000</v>
      </c>
      <c r="G42" s="110">
        <f t="shared" si="3"/>
        <v>0.4074074074074074</v>
      </c>
      <c r="H42" s="103">
        <f>E78</f>
        <v>550000</v>
      </c>
      <c r="I42" s="104">
        <f t="shared" si="4"/>
        <v>1833.3333333333333</v>
      </c>
      <c r="J42" s="109">
        <f t="shared" si="5"/>
        <v>5.0228310502283104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201860.63829787239</v>
      </c>
      <c r="D43" s="104">
        <f t="shared" si="1"/>
        <v>672.8687943262413</v>
      </c>
      <c r="E43" s="105">
        <f t="shared" si="2"/>
        <v>1.8434761488390172</v>
      </c>
      <c r="F43" s="106">
        <f>C43-H43</f>
        <v>187274.57446808516</v>
      </c>
      <c r="G43" s="110">
        <f t="shared" si="3"/>
        <v>0.07225808831667083</v>
      </c>
      <c r="H43" s="103">
        <f>E85</f>
        <v>14586.063829787208</v>
      </c>
      <c r="I43" s="104">
        <f t="shared" si="4"/>
        <v>48.62021276595736</v>
      </c>
      <c r="J43" s="109">
        <f t="shared" si="5"/>
        <v>0.13320606237248592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200</v>
      </c>
      <c r="E44" s="105">
        <f t="shared" si="2"/>
        <v>0.547945205479452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170</v>
      </c>
      <c r="J44" s="109">
        <f t="shared" si="5"/>
        <v>0.4657534246575342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25000</v>
      </c>
      <c r="D45" s="113">
        <f t="shared" si="1"/>
        <v>83.33333333333333</v>
      </c>
      <c r="E45" s="114">
        <f t="shared" si="2"/>
        <v>0.228310502283105</v>
      </c>
      <c r="F45" s="112">
        <f>C45-H45</f>
        <v>0</v>
      </c>
      <c r="G45" s="115">
        <f t="shared" si="3"/>
        <v>1</v>
      </c>
      <c r="H45" s="116">
        <f>E92</f>
        <v>25000</v>
      </c>
      <c r="I45" s="113">
        <f t="shared" si="4"/>
        <v>83.33333333333333</v>
      </c>
      <c r="J45" s="117">
        <f t="shared" si="5"/>
        <v>0.228310502283105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3580090.6382978726</v>
      </c>
      <c r="D46" s="119">
        <f>SUM(D38:D45)</f>
        <v>11933.635460992908</v>
      </c>
      <c r="E46" s="120">
        <f>SUM(E38:E45)</f>
        <v>32.69489167395317</v>
      </c>
      <c r="F46" s="119">
        <f>SUM(F38:F45)</f>
        <v>1370356.994522721</v>
      </c>
      <c r="G46" s="121">
        <f>H46/C46</f>
        <v>0.6172284076097448</v>
      </c>
      <c r="H46" s="118">
        <f>SUM(H38:H45)</f>
        <v>2209733.643775151</v>
      </c>
      <c r="I46" s="118">
        <f>SUM(I38:I45)</f>
        <v>7365.778812583836</v>
      </c>
      <c r="J46" s="122">
        <f>SUM(J38:J45)</f>
        <v>20.180215924887225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792480</v>
      </c>
      <c r="D49" s="267">
        <v>0.7933070866141733</v>
      </c>
      <c r="E49" s="141">
        <f aca="true" t="shared" si="6" ref="E49:E57">C49*D49</f>
        <v>628680</v>
      </c>
      <c r="F49" s="240">
        <v>9</v>
      </c>
      <c r="G49" s="241">
        <f>C49/F49</f>
        <v>88053.33333333333</v>
      </c>
      <c r="H49" s="25" t="s">
        <v>175</v>
      </c>
      <c r="I49" s="81"/>
      <c r="J49" s="129">
        <v>200000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330750</v>
      </c>
      <c r="D51" s="268">
        <v>0.8367346938775511</v>
      </c>
      <c r="E51" s="141">
        <f t="shared" si="6"/>
        <v>276750</v>
      </c>
      <c r="F51" s="240">
        <v>3</v>
      </c>
      <c r="G51" s="241">
        <f>C51/F51</f>
        <v>110250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15000</v>
      </c>
      <c r="D52" s="269">
        <v>0.7933070866141733</v>
      </c>
      <c r="E52" s="141">
        <f t="shared" si="6"/>
        <v>11899.606299212599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15000</v>
      </c>
      <c r="D54" s="269">
        <v>0.7933070866141733</v>
      </c>
      <c r="E54" s="141">
        <f t="shared" si="6"/>
        <v>11899.606299212599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10000</v>
      </c>
      <c r="D55" s="269">
        <v>0.8367346938775511</v>
      </c>
      <c r="E55" s="141">
        <f t="shared" si="6"/>
        <v>8367.34693877551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15000</v>
      </c>
      <c r="D56" s="269">
        <v>0.8367346938775511</v>
      </c>
      <c r="E56" s="141">
        <f t="shared" si="6"/>
        <v>12551.020408163266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485750</v>
      </c>
      <c r="D58" s="271">
        <f>E58/C58</f>
        <v>0.8316368089456798</v>
      </c>
      <c r="E58" s="141">
        <f>SUM(E51:E57)</f>
        <v>403967.579945364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275000</v>
      </c>
      <c r="D60" s="269">
        <v>0.9</v>
      </c>
      <c r="E60" s="141">
        <f>C60*D60</f>
        <v>247500</v>
      </c>
      <c r="F60" s="7"/>
      <c r="H60" s="153" t="s">
        <v>204</v>
      </c>
      <c r="I60" s="154"/>
      <c r="J60" s="155">
        <f>SUM(J49:J59)</f>
        <v>200000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75000</v>
      </c>
      <c r="D61" s="269">
        <v>0.9</v>
      </c>
      <c r="E61" s="141">
        <f>C61*D61</f>
        <v>67500</v>
      </c>
      <c r="F61" s="7"/>
      <c r="H61" s="25" t="s">
        <v>106</v>
      </c>
      <c r="I61" s="26"/>
      <c r="J61" s="157">
        <f>C22</f>
        <v>4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10000</v>
      </c>
      <c r="D63" s="270">
        <v>0.9</v>
      </c>
      <c r="E63" s="146">
        <f>C63*D63</f>
        <v>9000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370000</v>
      </c>
      <c r="D64" s="271">
        <f>E64/C64</f>
        <v>0.9</v>
      </c>
      <c r="E64" s="141">
        <f>SUM(E60:E63)</f>
        <v>333000</v>
      </c>
      <c r="F64" s="7"/>
      <c r="H64" s="161" t="s">
        <v>210</v>
      </c>
      <c r="I64" s="162"/>
      <c r="J64" s="163">
        <f>J60*J63</f>
        <v>25000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100000</v>
      </c>
      <c r="D66" s="269">
        <v>0.9</v>
      </c>
      <c r="E66" s="141">
        <f aca="true" t="shared" si="8" ref="E66:E71">C66*D66</f>
        <v>90000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20000</v>
      </c>
      <c r="D67" s="269">
        <v>0.9</v>
      </c>
      <c r="E67" s="141">
        <f t="shared" si="8"/>
        <v>18000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20000</v>
      </c>
      <c r="D69" s="269">
        <v>0.5</v>
      </c>
      <c r="E69" s="141">
        <f t="shared" si="8"/>
        <v>10000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125000</v>
      </c>
      <c r="D70" s="269">
        <v>0.5</v>
      </c>
      <c r="E70" s="141">
        <f t="shared" si="8"/>
        <v>62500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20000</v>
      </c>
      <c r="D71" s="270">
        <v>0.9</v>
      </c>
      <c r="E71" s="146">
        <f t="shared" si="8"/>
        <v>18000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295000</v>
      </c>
      <c r="D72" s="271">
        <f>E72/C72</f>
        <v>0.6898305084745763</v>
      </c>
      <c r="E72" s="141">
        <f>SUM(E66:E71)</f>
        <v>203500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750000</v>
      </c>
      <c r="D74" s="269">
        <v>0.6</v>
      </c>
      <c r="E74" s="141">
        <f>C74*D74</f>
        <v>450000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100000</v>
      </c>
      <c r="D75" s="269">
        <v>0.75</v>
      </c>
      <c r="E75" s="141">
        <f>C75*D75</f>
        <v>75000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21276.59574468085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400000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1021276.5957446808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1350000</v>
      </c>
      <c r="D78" s="271">
        <f>E78/C78</f>
        <v>0.4074074074074074</v>
      </c>
      <c r="E78" s="179">
        <f>SUM(E74:E77)</f>
        <v>550000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1000000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1858723.4042553192</v>
      </c>
      <c r="D81" s="269">
        <v>0.0999999999999998</v>
      </c>
      <c r="E81" s="141">
        <f>C81*D81</f>
        <v>185872.34042553153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120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2883723.4042553194</v>
      </c>
      <c r="D83" s="271">
        <f>E83/C83</f>
        <v>0.07225808831667083</v>
      </c>
      <c r="E83" s="186">
        <f>SUM(E80:E82)</f>
        <v>208372.34042553153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201860.63829787239</v>
      </c>
      <c r="D85" s="273">
        <f>E85/C85</f>
        <v>0.07225808831667083</v>
      </c>
      <c r="E85" s="194">
        <f>$C$84*E83</f>
        <v>14586.063829787208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25000</v>
      </c>
      <c r="D92" s="267">
        <v>1</v>
      </c>
      <c r="E92" s="128">
        <f>C92*D92</f>
        <v>25000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421875" style="3" customWidth="1"/>
    <col min="14" max="14" width="22.14062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268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270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2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271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44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2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 t="s">
        <v>59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 t="s">
        <v>59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59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54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22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2001</v>
      </c>
      <c r="D20" s="7"/>
      <c r="E20" s="25" t="s">
        <v>163</v>
      </c>
      <c r="F20" s="26"/>
      <c r="G20" s="79"/>
      <c r="H20" s="85"/>
      <c r="I20" s="44" t="s">
        <v>59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59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6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9800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60</v>
      </c>
      <c r="D24" s="7"/>
      <c r="E24" s="25" t="s">
        <v>66</v>
      </c>
      <c r="F24" s="26"/>
      <c r="G24" s="79"/>
      <c r="H24" s="85"/>
      <c r="I24" s="126" t="s">
        <v>22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681.8181818181819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88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88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42.28126742876889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42.28126742876889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42.28126742876889</v>
      </c>
      <c r="C34" s="91">
        <v>1.1</v>
      </c>
      <c r="D34" s="92">
        <f>J38</f>
        <v>8.887920298879203</v>
      </c>
      <c r="E34" s="92">
        <f>J39</f>
        <v>7.938462890109061</v>
      </c>
      <c r="F34" s="92">
        <f>J40</f>
        <v>6.724782067247821</v>
      </c>
      <c r="G34" s="92">
        <f>J41</f>
        <v>4.062889165628892</v>
      </c>
      <c r="H34" s="92">
        <f>J42</f>
        <v>7.9000622665006235</v>
      </c>
      <c r="I34" s="92">
        <f>J43</f>
        <v>0.9223802495959302</v>
      </c>
      <c r="J34" s="92">
        <f>J44</f>
        <v>1.5877957658779576</v>
      </c>
      <c r="K34" s="93">
        <f>J45</f>
        <v>0.4545454545454545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449280</v>
      </c>
      <c r="D38" s="104">
        <f aca="true" t="shared" si="1" ref="D38:D45">C38/$C$26</f>
        <v>5105.454545454545</v>
      </c>
      <c r="E38" s="105">
        <f aca="true" t="shared" si="2" ref="E38:E45">C38/$C$26/365</f>
        <v>13.987546699875466</v>
      </c>
      <c r="F38" s="106">
        <f>C38-H38</f>
        <v>163800</v>
      </c>
      <c r="G38" s="107">
        <f aca="true" t="shared" si="3" ref="G38:G45">IF(C38=0,0,H38/C38)</f>
        <v>0.6354166666666666</v>
      </c>
      <c r="H38" s="103">
        <f>E49</f>
        <v>285480</v>
      </c>
      <c r="I38" s="108">
        <f aca="true" t="shared" si="4" ref="I38:I45">H38/$C$26</f>
        <v>3244.090909090909</v>
      </c>
      <c r="J38" s="109">
        <f aca="true" t="shared" si="5" ref="J38:J45">H38/$C$26/365</f>
        <v>8.887920298879203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862.4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330250</v>
      </c>
      <c r="D39" s="104">
        <f t="shared" si="1"/>
        <v>3752.840909090909</v>
      </c>
      <c r="E39" s="105">
        <f t="shared" si="2"/>
        <v>10.281755915317559</v>
      </c>
      <c r="F39" s="106">
        <f>C39-H39</f>
        <v>75266.57196969699</v>
      </c>
      <c r="G39" s="110">
        <f t="shared" si="3"/>
        <v>0.7720921363521666</v>
      </c>
      <c r="H39" s="103">
        <f>E58</f>
        <v>254983.428030303</v>
      </c>
      <c r="I39" s="104">
        <f t="shared" si="4"/>
        <v>2897.538954889807</v>
      </c>
      <c r="J39" s="109">
        <f t="shared" si="5"/>
        <v>7.938462890109061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240000</v>
      </c>
      <c r="D40" s="104">
        <f t="shared" si="1"/>
        <v>2727.2727272727275</v>
      </c>
      <c r="E40" s="105">
        <f t="shared" si="2"/>
        <v>7.471980074719801</v>
      </c>
      <c r="F40" s="106">
        <f>C40-H40</f>
        <v>24000</v>
      </c>
      <c r="G40" s="110">
        <f t="shared" si="3"/>
        <v>0.9</v>
      </c>
      <c r="H40" s="103">
        <f>E64</f>
        <v>216000</v>
      </c>
      <c r="I40" s="104">
        <f t="shared" si="4"/>
        <v>2454.5454545454545</v>
      </c>
      <c r="J40" s="109">
        <f t="shared" si="5"/>
        <v>6.724782067247821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205000</v>
      </c>
      <c r="D41" s="104">
        <f t="shared" si="1"/>
        <v>2329.5454545454545</v>
      </c>
      <c r="E41" s="105">
        <f t="shared" si="2"/>
        <v>6.382316313823163</v>
      </c>
      <c r="F41" s="106">
        <f>C41-H41</f>
        <v>74500</v>
      </c>
      <c r="G41" s="110">
        <f t="shared" si="3"/>
        <v>0.6365853658536585</v>
      </c>
      <c r="H41" s="103">
        <f>E72</f>
        <v>130500</v>
      </c>
      <c r="I41" s="104">
        <f t="shared" si="4"/>
        <v>1482.9545454545455</v>
      </c>
      <c r="J41" s="109">
        <f t="shared" si="5"/>
        <v>4.062889165628892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625000</v>
      </c>
      <c r="D42" s="104">
        <f t="shared" si="1"/>
        <v>7102.272727272727</v>
      </c>
      <c r="E42" s="105">
        <f t="shared" si="2"/>
        <v>19.458281444582813</v>
      </c>
      <c r="F42" s="106">
        <f>C78-E78</f>
        <v>371250</v>
      </c>
      <c r="G42" s="110">
        <f t="shared" si="3"/>
        <v>0.406</v>
      </c>
      <c r="H42" s="103">
        <f>E78</f>
        <v>253750</v>
      </c>
      <c r="I42" s="104">
        <f t="shared" si="4"/>
        <v>2883.5227272727275</v>
      </c>
      <c r="J42" s="109">
        <f t="shared" si="5"/>
        <v>7.9000622665006235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77652.4714893617</v>
      </c>
      <c r="D43" s="104">
        <f t="shared" si="1"/>
        <v>882.4144487427467</v>
      </c>
      <c r="E43" s="105">
        <f t="shared" si="2"/>
        <v>2.4175738321719087</v>
      </c>
      <c r="F43" s="106">
        <f>C43-H43</f>
        <v>48025.61787234043</v>
      </c>
      <c r="G43" s="110">
        <f t="shared" si="3"/>
        <v>0.3815313672415452</v>
      </c>
      <c r="H43" s="103">
        <f>E85</f>
        <v>29626.85361702128</v>
      </c>
      <c r="I43" s="104">
        <f t="shared" si="4"/>
        <v>336.66879110251455</v>
      </c>
      <c r="J43" s="109">
        <f t="shared" si="5"/>
        <v>0.9223802495959302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60000</v>
      </c>
      <c r="D44" s="104">
        <f t="shared" si="1"/>
        <v>681.8181818181819</v>
      </c>
      <c r="E44" s="105">
        <f t="shared" si="2"/>
        <v>1.8679950186799503</v>
      </c>
      <c r="F44" s="106">
        <f>C44-H44</f>
        <v>9000</v>
      </c>
      <c r="G44" s="110">
        <f t="shared" si="3"/>
        <v>0.85</v>
      </c>
      <c r="H44" s="103">
        <f>E90</f>
        <v>51000</v>
      </c>
      <c r="I44" s="104">
        <f t="shared" si="4"/>
        <v>579.5454545454545</v>
      </c>
      <c r="J44" s="109">
        <f t="shared" si="5"/>
        <v>1.5877957658779576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14599.999999999998</v>
      </c>
      <c r="D45" s="113">
        <f t="shared" si="1"/>
        <v>165.90909090909088</v>
      </c>
      <c r="E45" s="114">
        <f t="shared" si="2"/>
        <v>0.4545454545454545</v>
      </c>
      <c r="F45" s="112">
        <f>C45-H45</f>
        <v>0</v>
      </c>
      <c r="G45" s="115">
        <f t="shared" si="3"/>
        <v>1</v>
      </c>
      <c r="H45" s="116">
        <f>E92</f>
        <v>14599.999999999998</v>
      </c>
      <c r="I45" s="113">
        <f t="shared" si="4"/>
        <v>165.90909090909088</v>
      </c>
      <c r="J45" s="117">
        <f t="shared" si="5"/>
        <v>0.4545454545454545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2001782.4714893617</v>
      </c>
      <c r="D46" s="119">
        <f>SUM(D38:D45)</f>
        <v>22747.528085106384</v>
      </c>
      <c r="E46" s="120">
        <f>SUM(E38:E45)</f>
        <v>62.32199475371611</v>
      </c>
      <c r="F46" s="119">
        <f>SUM(F38:F45)</f>
        <v>765842.1898420374</v>
      </c>
      <c r="G46" s="121">
        <f>H46/C46</f>
        <v>0.6174198741623323</v>
      </c>
      <c r="H46" s="118">
        <f>SUM(H38:H45)</f>
        <v>1235940.2816473243</v>
      </c>
      <c r="I46" s="118">
        <f>SUM(I38:I45)</f>
        <v>14044.775927810502</v>
      </c>
      <c r="J46" s="122">
        <f>SUM(J38:J45)</f>
        <v>38.47883815838494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449280</v>
      </c>
      <c r="D49" s="267">
        <v>0.6354166666666666</v>
      </c>
      <c r="E49" s="141">
        <f aca="true" t="shared" si="6" ref="E49:E57">C49*D49</f>
        <v>285480</v>
      </c>
      <c r="F49" s="240">
        <v>5</v>
      </c>
      <c r="G49" s="241">
        <f>C49/F49</f>
        <v>89856</v>
      </c>
      <c r="H49" s="25" t="s">
        <v>175</v>
      </c>
      <c r="I49" s="81"/>
      <c r="J49" s="129">
        <v>100000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222750</v>
      </c>
      <c r="D51" s="268">
        <v>0.7575757575757576</v>
      </c>
      <c r="E51" s="141">
        <f t="shared" si="6"/>
        <v>168750</v>
      </c>
      <c r="F51" s="240">
        <v>2</v>
      </c>
      <c r="G51" s="241">
        <f>C51/F51</f>
        <v>111375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7500</v>
      </c>
      <c r="D52" s="269">
        <v>0.6354166666666666</v>
      </c>
      <c r="E52" s="141">
        <f t="shared" si="6"/>
        <v>4765.625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25000</v>
      </c>
      <c r="D53" s="269">
        <v>0.75</v>
      </c>
      <c r="E53" s="141">
        <f t="shared" si="6"/>
        <v>18750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10000</v>
      </c>
      <c r="D54" s="269">
        <v>0.6354166666666666</v>
      </c>
      <c r="E54" s="141">
        <f t="shared" si="6"/>
        <v>6354.166666666666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5000</v>
      </c>
      <c r="D55" s="269">
        <v>0.7575757575757576</v>
      </c>
      <c r="E55" s="141">
        <f t="shared" si="6"/>
        <v>3787.878787878788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10000</v>
      </c>
      <c r="D56" s="269">
        <v>0.7575757575757576</v>
      </c>
      <c r="E56" s="141">
        <f t="shared" si="6"/>
        <v>7575.757575757576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330250</v>
      </c>
      <c r="D58" s="271">
        <f>E58/C58</f>
        <v>0.7720921363521666</v>
      </c>
      <c r="E58" s="141">
        <f>SUM(E51:E57)</f>
        <v>254983.428030303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200000</v>
      </c>
      <c r="D60" s="269">
        <v>0.9</v>
      </c>
      <c r="E60" s="141">
        <f>C60*D60</f>
        <v>180000</v>
      </c>
      <c r="F60" s="7"/>
      <c r="H60" s="153" t="s">
        <v>204</v>
      </c>
      <c r="I60" s="154"/>
      <c r="J60" s="155">
        <f>SUM(J49:J59)</f>
        <v>100000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30000</v>
      </c>
      <c r="D61" s="269">
        <v>0.9</v>
      </c>
      <c r="E61" s="141">
        <f>C61*D61</f>
        <v>27000</v>
      </c>
      <c r="F61" s="7"/>
      <c r="H61" s="25" t="s">
        <v>106</v>
      </c>
      <c r="I61" s="26"/>
      <c r="J61" s="157">
        <f>C22</f>
        <v>6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5000</v>
      </c>
      <c r="D62" s="269">
        <v>0.9</v>
      </c>
      <c r="E62" s="141">
        <f>C62*D62</f>
        <v>4500</v>
      </c>
      <c r="F62" s="7"/>
      <c r="H62" s="25" t="s">
        <v>207</v>
      </c>
      <c r="I62" s="26"/>
      <c r="J62" s="158">
        <v>15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5000</v>
      </c>
      <c r="D63" s="270">
        <v>0.9</v>
      </c>
      <c r="E63" s="146">
        <f>C63*D63</f>
        <v>4500</v>
      </c>
      <c r="F63" s="7"/>
      <c r="H63" s="144" t="s">
        <v>209</v>
      </c>
      <c r="I63" s="159"/>
      <c r="J63" s="160">
        <f>IF(J62=I66,J66,IF(J62=I67,J67,IF(J62=I68,J68,IF(J62=I69,J69,IF(J62=I70,J70,J71)))))</f>
        <v>0.146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240000</v>
      </c>
      <c r="D64" s="271">
        <f>E64/C64</f>
        <v>0.9</v>
      </c>
      <c r="E64" s="141">
        <f>SUM(E60:E63)</f>
        <v>216000</v>
      </c>
      <c r="F64" s="7"/>
      <c r="H64" s="161" t="s">
        <v>210</v>
      </c>
      <c r="I64" s="162"/>
      <c r="J64" s="163">
        <f>J60*J63</f>
        <v>14599.999999999998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50000</v>
      </c>
      <c r="D66" s="269">
        <v>0.9</v>
      </c>
      <c r="E66" s="141">
        <f aca="true" t="shared" si="8" ref="E66:E71">C66*D66</f>
        <v>45000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10000</v>
      </c>
      <c r="D67" s="269">
        <v>0.9</v>
      </c>
      <c r="E67" s="141">
        <f t="shared" si="8"/>
        <v>9000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50000</v>
      </c>
      <c r="D68" s="269">
        <v>0.5</v>
      </c>
      <c r="E68" s="141">
        <f t="shared" si="8"/>
        <v>25000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10000</v>
      </c>
      <c r="D69" s="269">
        <v>0.5</v>
      </c>
      <c r="E69" s="141">
        <f t="shared" si="8"/>
        <v>5000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75000</v>
      </c>
      <c r="D70" s="269">
        <v>0.5</v>
      </c>
      <c r="E70" s="141">
        <f t="shared" si="8"/>
        <v>37500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10000</v>
      </c>
      <c r="D71" s="270">
        <v>0.9</v>
      </c>
      <c r="E71" s="146">
        <f t="shared" si="8"/>
        <v>9000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205000</v>
      </c>
      <c r="D72" s="271">
        <f>E72/C72</f>
        <v>0.6365853658536585</v>
      </c>
      <c r="E72" s="141">
        <f>SUM(E66:E71)</f>
        <v>130500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350000</v>
      </c>
      <c r="D74" s="269">
        <v>0.6</v>
      </c>
      <c r="E74" s="141">
        <f>C74*D74</f>
        <v>210000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50000</v>
      </c>
      <c r="D75" s="269">
        <v>0.75</v>
      </c>
      <c r="E75" s="141">
        <f>C75*D75</f>
        <v>37500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25000</v>
      </c>
      <c r="D76" s="269">
        <v>0.25</v>
      </c>
      <c r="E76" s="141">
        <f>C76*D76</f>
        <v>6250</v>
      </c>
      <c r="F76" s="7"/>
      <c r="H76" s="25" t="s">
        <v>234</v>
      </c>
      <c r="I76" s="26"/>
      <c r="J76" s="177">
        <f>C23*C26*1000/J75</f>
        <v>6116.312056737589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200000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293582.9787234043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625000</v>
      </c>
      <c r="D78" s="271">
        <f>E78/C78</f>
        <v>0.406</v>
      </c>
      <c r="E78" s="179">
        <f>SUM(E74:E77)</f>
        <v>253750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550000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534321.0212765958</v>
      </c>
      <c r="D81" s="269">
        <v>0.75</v>
      </c>
      <c r="E81" s="141">
        <f>C81*D81</f>
        <v>400740.7659574468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34.496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1109321.0212765958</v>
      </c>
      <c r="D83" s="271">
        <f>E83/C83</f>
        <v>0.3815313672415452</v>
      </c>
      <c r="E83" s="186">
        <f>SUM(E80:E82)</f>
        <v>423240.7659574468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77652.4714893617</v>
      </c>
      <c r="D85" s="273">
        <f>E85/C85</f>
        <v>0.3815313672415452</v>
      </c>
      <c r="E85" s="194">
        <f>$C$84*E83</f>
        <v>29626.85361702128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20000</v>
      </c>
      <c r="D87" s="269">
        <v>0.9</v>
      </c>
      <c r="E87" s="141">
        <f>C87*D87</f>
        <v>18000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20000</v>
      </c>
      <c r="D88" s="269">
        <v>0.75</v>
      </c>
      <c r="E88" s="141">
        <f>C88*D88</f>
        <v>15000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20000</v>
      </c>
      <c r="D89" s="269">
        <v>0.9</v>
      </c>
      <c r="E89" s="146">
        <f>C89*D89</f>
        <v>18000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60000</v>
      </c>
      <c r="D90" s="272">
        <f>E90/C90</f>
        <v>0.85</v>
      </c>
      <c r="E90" s="139">
        <f>SUM(E87:E89)</f>
        <v>51000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14599.999999999998</v>
      </c>
      <c r="D92" s="267">
        <v>1</v>
      </c>
      <c r="E92" s="128">
        <f>C92*D92</f>
        <v>14599.999999999998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421875" style="3" customWidth="1"/>
    <col min="14" max="14" width="21.71093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267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303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2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14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39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277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105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3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>
        <v>250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>
        <v>1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 t="s">
        <v>22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61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2003</v>
      </c>
      <c r="D20" s="7"/>
      <c r="E20" s="25" t="s">
        <v>163</v>
      </c>
      <c r="F20" s="26"/>
      <c r="G20" s="79"/>
      <c r="H20" s="85"/>
      <c r="I20" s="44" t="s">
        <v>164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167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4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8200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275</v>
      </c>
      <c r="D24" s="7"/>
      <c r="E24" s="25" t="s">
        <v>66</v>
      </c>
      <c r="F24" s="26"/>
      <c r="G24" s="79"/>
      <c r="H24" s="85"/>
      <c r="I24" s="126" t="s">
        <v>67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504.58715596330273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545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545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25.97796507485866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25.97796507485866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25.97796507485866</v>
      </c>
      <c r="C34" s="91">
        <v>1.1</v>
      </c>
      <c r="D34" s="92">
        <f>J38</f>
        <v>8.289154203845671</v>
      </c>
      <c r="E34" s="92">
        <f>J39</f>
        <v>3.7845206147709463</v>
      </c>
      <c r="F34" s="92">
        <f>J40</f>
        <v>3.823048887771773</v>
      </c>
      <c r="G34" s="92">
        <f>J41</f>
        <v>2.7472665577478947</v>
      </c>
      <c r="H34" s="92">
        <f>J42</f>
        <v>4.3672238280759075</v>
      </c>
      <c r="I34" s="92">
        <f>J43</f>
        <v>0.11326956433382604</v>
      </c>
      <c r="J34" s="92">
        <f>J44</f>
        <v>0.3204725399019731</v>
      </c>
      <c r="K34" s="93">
        <f>J45</f>
        <v>0.18851325876586655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1984320</v>
      </c>
      <c r="D38" s="104">
        <f aca="true" t="shared" si="1" ref="D38:D45">C38/$C$26</f>
        <v>3640.954128440367</v>
      </c>
      <c r="E38" s="105">
        <f aca="true" t="shared" si="2" ref="E38:E45">C38/$C$26/365</f>
        <v>9.97521679024758</v>
      </c>
      <c r="F38" s="106">
        <f>C38-H38</f>
        <v>335400</v>
      </c>
      <c r="G38" s="107">
        <f aca="true" t="shared" si="3" ref="G38:G45">IF(C38=0,0,H38/C38)</f>
        <v>0.8309748427672956</v>
      </c>
      <c r="H38" s="103">
        <f>E49</f>
        <v>1648920</v>
      </c>
      <c r="I38" s="108">
        <f aca="true" t="shared" si="4" ref="I38:I45">H38/$C$26</f>
        <v>3025.5412844036696</v>
      </c>
      <c r="J38" s="109">
        <f aca="true" t="shared" si="5" ref="J38:J45">H38/$C$26/365</f>
        <v>8.289154203845671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4469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898250</v>
      </c>
      <c r="D39" s="104">
        <f t="shared" si="1"/>
        <v>1648.165137614679</v>
      </c>
      <c r="E39" s="105">
        <f t="shared" si="2"/>
        <v>4.515520924971724</v>
      </c>
      <c r="F39" s="106">
        <f>C39-H39</f>
        <v>145414.23670668947</v>
      </c>
      <c r="G39" s="110">
        <f t="shared" si="3"/>
        <v>0.838113847251111</v>
      </c>
      <c r="H39" s="103">
        <f>E58</f>
        <v>752835.7632933105</v>
      </c>
      <c r="I39" s="104">
        <f t="shared" si="4"/>
        <v>1381.3500243913954</v>
      </c>
      <c r="J39" s="109">
        <f t="shared" si="5"/>
        <v>3.7845206147709463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845000</v>
      </c>
      <c r="D40" s="104">
        <f t="shared" si="1"/>
        <v>1550.4587155963302</v>
      </c>
      <c r="E40" s="105">
        <f t="shared" si="2"/>
        <v>4.247832097524192</v>
      </c>
      <c r="F40" s="106">
        <f>C40-H40</f>
        <v>84500</v>
      </c>
      <c r="G40" s="110">
        <f t="shared" si="3"/>
        <v>0.9</v>
      </c>
      <c r="H40" s="103">
        <f>E64</f>
        <v>760500</v>
      </c>
      <c r="I40" s="104">
        <f t="shared" si="4"/>
        <v>1395.4128440366972</v>
      </c>
      <c r="J40" s="109">
        <f t="shared" si="5"/>
        <v>3.823048887771773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845000</v>
      </c>
      <c r="D41" s="104">
        <f t="shared" si="1"/>
        <v>1550.4587155963302</v>
      </c>
      <c r="E41" s="105">
        <f t="shared" si="2"/>
        <v>4.247832097524192</v>
      </c>
      <c r="F41" s="106">
        <f>C41-H41</f>
        <v>298500</v>
      </c>
      <c r="G41" s="110">
        <f t="shared" si="3"/>
        <v>0.6467455621301775</v>
      </c>
      <c r="H41" s="103">
        <f>E72</f>
        <v>546500</v>
      </c>
      <c r="I41" s="104">
        <f t="shared" si="4"/>
        <v>1002.7522935779816</v>
      </c>
      <c r="J41" s="109">
        <f t="shared" si="5"/>
        <v>2.7472665577478947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1975000</v>
      </c>
      <c r="D42" s="104">
        <f t="shared" si="1"/>
        <v>3623.853211009174</v>
      </c>
      <c r="E42" s="105">
        <f t="shared" si="2"/>
        <v>9.92836496166897</v>
      </c>
      <c r="F42" s="106">
        <f>C78-E78</f>
        <v>1106250</v>
      </c>
      <c r="G42" s="110">
        <f t="shared" si="3"/>
        <v>0.439873417721519</v>
      </c>
      <c r="H42" s="103">
        <f>E78</f>
        <v>868750</v>
      </c>
      <c r="I42" s="104">
        <f t="shared" si="4"/>
        <v>1594.0366972477063</v>
      </c>
      <c r="J42" s="109">
        <f t="shared" si="5"/>
        <v>4.3672238280759075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337321.48085106385</v>
      </c>
      <c r="D43" s="104">
        <f t="shared" si="1"/>
        <v>618.9384969744291</v>
      </c>
      <c r="E43" s="105">
        <f t="shared" si="2"/>
        <v>1.6957219095189837</v>
      </c>
      <c r="F43" s="106">
        <f>C43-H43</f>
        <v>314789.3327659575</v>
      </c>
      <c r="G43" s="110">
        <f t="shared" si="3"/>
        <v>0.06679725236666702</v>
      </c>
      <c r="H43" s="103">
        <f>E85</f>
        <v>22532.148085106346</v>
      </c>
      <c r="I43" s="104">
        <f t="shared" si="4"/>
        <v>41.343390981846504</v>
      </c>
      <c r="J43" s="109">
        <f t="shared" si="5"/>
        <v>0.11326956433382604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75000</v>
      </c>
      <c r="D44" s="104">
        <f t="shared" si="1"/>
        <v>137.61467889908258</v>
      </c>
      <c r="E44" s="105">
        <f t="shared" si="2"/>
        <v>0.3770265175317331</v>
      </c>
      <c r="F44" s="106">
        <f>C44-H44</f>
        <v>11250</v>
      </c>
      <c r="G44" s="110">
        <f t="shared" si="3"/>
        <v>0.85</v>
      </c>
      <c r="H44" s="103">
        <f>E90</f>
        <v>63750</v>
      </c>
      <c r="I44" s="104">
        <f t="shared" si="4"/>
        <v>116.97247706422019</v>
      </c>
      <c r="J44" s="109">
        <f t="shared" si="5"/>
        <v>0.3204725399019731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37500</v>
      </c>
      <c r="D45" s="113">
        <f t="shared" si="1"/>
        <v>68.80733944954129</v>
      </c>
      <c r="E45" s="114">
        <f t="shared" si="2"/>
        <v>0.18851325876586655</v>
      </c>
      <c r="F45" s="112">
        <f>C45-H45</f>
        <v>0</v>
      </c>
      <c r="G45" s="115">
        <f t="shared" si="3"/>
        <v>1</v>
      </c>
      <c r="H45" s="116">
        <f>E92</f>
        <v>37500</v>
      </c>
      <c r="I45" s="113">
        <f t="shared" si="4"/>
        <v>68.80733944954129</v>
      </c>
      <c r="J45" s="117">
        <f t="shared" si="5"/>
        <v>0.18851325876586655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6997391.4808510635</v>
      </c>
      <c r="D46" s="119">
        <f>SUM(D38:D45)</f>
        <v>12839.250423579933</v>
      </c>
      <c r="E46" s="120">
        <f>SUM(E38:E45)</f>
        <v>35.17602855775324</v>
      </c>
      <c r="F46" s="119">
        <f>SUM(F38:F45)</f>
        <v>2296103.569472647</v>
      </c>
      <c r="G46" s="121">
        <f>H46/C46</f>
        <v>0.6718629255264448</v>
      </c>
      <c r="H46" s="118">
        <f>SUM(H38:H45)</f>
        <v>4701287.911378417</v>
      </c>
      <c r="I46" s="118">
        <f>SUM(I38:I45)</f>
        <v>8626.216351153058</v>
      </c>
      <c r="J46" s="122">
        <f>SUM(J38:J45)</f>
        <v>23.63346945521386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1984320</v>
      </c>
      <c r="D49" s="267">
        <v>0.8309748427672956</v>
      </c>
      <c r="E49" s="141">
        <f aca="true" t="shared" si="6" ref="E49:E57">C49*D49</f>
        <v>1648920</v>
      </c>
      <c r="F49" s="240">
        <v>24</v>
      </c>
      <c r="G49" s="241">
        <f>C49/F49</f>
        <v>82680</v>
      </c>
      <c r="H49" s="25" t="s">
        <v>175</v>
      </c>
      <c r="I49" s="81"/>
      <c r="J49" s="129">
        <v>300000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/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668250</v>
      </c>
      <c r="D51" s="268">
        <v>0.8383838383838383</v>
      </c>
      <c r="E51" s="141">
        <f t="shared" si="6"/>
        <v>560250</v>
      </c>
      <c r="F51" s="240">
        <v>7</v>
      </c>
      <c r="G51" s="241">
        <f>C51/F51</f>
        <v>95464.28571428571</v>
      </c>
      <c r="H51" s="25" t="s">
        <v>181</v>
      </c>
      <c r="I51" s="85"/>
      <c r="J51" s="129"/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30000</v>
      </c>
      <c r="D52" s="269">
        <v>0.8309748427672956</v>
      </c>
      <c r="E52" s="141">
        <f t="shared" si="6"/>
        <v>24929.245283018867</v>
      </c>
      <c r="F52" s="7"/>
      <c r="H52" s="25" t="s">
        <v>184</v>
      </c>
      <c r="I52" s="85"/>
      <c r="J52" s="129"/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/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30000</v>
      </c>
      <c r="D54" s="269">
        <v>0.8309748427672956</v>
      </c>
      <c r="E54" s="141">
        <f t="shared" si="6"/>
        <v>24929.245283018867</v>
      </c>
      <c r="F54" s="7"/>
      <c r="H54" s="25" t="s">
        <v>190</v>
      </c>
      <c r="I54" s="85"/>
      <c r="J54" s="129"/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15000</v>
      </c>
      <c r="D55" s="269">
        <v>0.8383838383838383</v>
      </c>
      <c r="E55" s="141">
        <f t="shared" si="6"/>
        <v>12575.757575757576</v>
      </c>
      <c r="F55" s="7"/>
      <c r="H55" s="25" t="s">
        <v>193</v>
      </c>
      <c r="I55" s="85"/>
      <c r="J55" s="129"/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30000</v>
      </c>
      <c r="D56" s="269">
        <v>0.8383838383838383</v>
      </c>
      <c r="E56" s="141">
        <f t="shared" si="6"/>
        <v>25151.515151515152</v>
      </c>
      <c r="F56" s="7"/>
      <c r="H56" s="25" t="s">
        <v>196</v>
      </c>
      <c r="I56" s="85"/>
      <c r="J56" s="129"/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75000</v>
      </c>
      <c r="D57" s="270">
        <v>0.9</v>
      </c>
      <c r="E57" s="146">
        <f t="shared" si="6"/>
        <v>67500</v>
      </c>
      <c r="F57" s="7"/>
      <c r="H57" s="25" t="s">
        <v>199</v>
      </c>
      <c r="I57" s="85"/>
      <c r="J57" s="129"/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898250</v>
      </c>
      <c r="D58" s="271">
        <f>E58/C58</f>
        <v>0.838113847251111</v>
      </c>
      <c r="E58" s="141">
        <f>SUM(E51:E57)</f>
        <v>752835.7632933105</v>
      </c>
      <c r="F58" s="7"/>
      <c r="H58" s="149" t="s">
        <v>200</v>
      </c>
      <c r="I58" s="33"/>
      <c r="J58" s="129"/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/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600000</v>
      </c>
      <c r="D60" s="269">
        <v>0.9</v>
      </c>
      <c r="E60" s="141">
        <f>C60*D60</f>
        <v>540000</v>
      </c>
      <c r="F60" s="7"/>
      <c r="H60" s="153" t="s">
        <v>204</v>
      </c>
      <c r="I60" s="154"/>
      <c r="J60" s="155">
        <f>SUM(J49:J59)</f>
        <v>300000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200000</v>
      </c>
      <c r="D61" s="269">
        <v>0.9</v>
      </c>
      <c r="E61" s="141">
        <f>C61*D61</f>
        <v>180000</v>
      </c>
      <c r="F61" s="7"/>
      <c r="H61" s="25" t="s">
        <v>106</v>
      </c>
      <c r="I61" s="26"/>
      <c r="J61" s="157">
        <f>C22</f>
        <v>4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15000</v>
      </c>
      <c r="D62" s="269">
        <v>0.9</v>
      </c>
      <c r="E62" s="141">
        <f>C62*D62</f>
        <v>13500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30000</v>
      </c>
      <c r="D63" s="270">
        <v>0.9</v>
      </c>
      <c r="E63" s="146">
        <f>C63*D63</f>
        <v>27000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845000</v>
      </c>
      <c r="D64" s="271">
        <f>E64/C64</f>
        <v>0.9</v>
      </c>
      <c r="E64" s="141">
        <f>SUM(E60:E63)</f>
        <v>760500</v>
      </c>
      <c r="F64" s="7"/>
      <c r="H64" s="161" t="s">
        <v>210</v>
      </c>
      <c r="I64" s="162"/>
      <c r="J64" s="163">
        <f>J60*J63</f>
        <v>37500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250000</v>
      </c>
      <c r="D66" s="269">
        <v>0.9</v>
      </c>
      <c r="E66" s="141">
        <f aca="true" t="shared" si="8" ref="E66:E71">C66*D66</f>
        <v>225000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10000</v>
      </c>
      <c r="D67" s="269">
        <v>0.9</v>
      </c>
      <c r="E67" s="141">
        <f t="shared" si="8"/>
        <v>9000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25000</v>
      </c>
      <c r="D69" s="269">
        <v>0.5</v>
      </c>
      <c r="E69" s="141">
        <f t="shared" si="8"/>
        <v>12500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500000</v>
      </c>
      <c r="D70" s="269">
        <v>0.5</v>
      </c>
      <c r="E70" s="141">
        <f t="shared" si="8"/>
        <v>250000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50000</v>
      </c>
      <c r="D71" s="270">
        <v>0.9</v>
      </c>
      <c r="E71" s="146">
        <f t="shared" si="8"/>
        <v>45000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845000</v>
      </c>
      <c r="D72" s="271">
        <f>E72/C72</f>
        <v>0.6467455621301775</v>
      </c>
      <c r="E72" s="141">
        <f>SUM(E66:E71)</f>
        <v>546500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1250000</v>
      </c>
      <c r="D74" s="269">
        <v>0.6</v>
      </c>
      <c r="E74" s="141">
        <f>C74*D74</f>
        <v>750000</v>
      </c>
      <c r="F74" s="7"/>
      <c r="H74" s="25" t="s">
        <v>230</v>
      </c>
      <c r="I74" s="26"/>
      <c r="J74" s="28">
        <v>2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125000</v>
      </c>
      <c r="D75" s="269">
        <v>0.75</v>
      </c>
      <c r="E75" s="141">
        <f>C75*D75</f>
        <v>93750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31695.03546099291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500000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1521361.7021276597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1975000</v>
      </c>
      <c r="D78" s="271">
        <f>E78/C78</f>
        <v>0.439873417721519</v>
      </c>
      <c r="E78" s="179">
        <f>SUM(E74:E77)</f>
        <v>868750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2000000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2768878.297872341</v>
      </c>
      <c r="D81" s="269">
        <v>0.0999999999999998</v>
      </c>
      <c r="E81" s="141">
        <f>C81*D81</f>
        <v>276887.8297872335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50000</v>
      </c>
      <c r="D82" s="270">
        <v>0.9</v>
      </c>
      <c r="E82" s="146">
        <f>C82*D82</f>
        <v>45000</v>
      </c>
      <c r="F82" s="7"/>
      <c r="H82" s="25" t="s">
        <v>244</v>
      </c>
      <c r="I82" s="26"/>
      <c r="J82" s="183">
        <f>C26*C23*1000/J81/2000</f>
        <v>178.76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4818878.29787234</v>
      </c>
      <c r="D83" s="271">
        <f>E83/C83</f>
        <v>0.06679725236666702</v>
      </c>
      <c r="E83" s="186">
        <f>SUM(E80:E82)</f>
        <v>321887.8297872335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337321.48085106385</v>
      </c>
      <c r="D85" s="273">
        <f>E85/C85</f>
        <v>0.06679725236666702</v>
      </c>
      <c r="E85" s="194">
        <f>$C$84*E83</f>
        <v>22532.148085106346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25000</v>
      </c>
      <c r="D87" s="269">
        <v>0.9</v>
      </c>
      <c r="E87" s="141">
        <f>C87*D87</f>
        <v>22500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40">
        <v>25000</v>
      </c>
      <c r="D88" s="269">
        <v>0.75</v>
      </c>
      <c r="E88" s="141">
        <f>C88*D88</f>
        <v>18750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45">
        <v>25000</v>
      </c>
      <c r="D89" s="269">
        <v>0.9</v>
      </c>
      <c r="E89" s="146">
        <f>C89*D89</f>
        <v>22500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75000</v>
      </c>
      <c r="D90" s="272">
        <f>E90/C90</f>
        <v>0.85</v>
      </c>
      <c r="E90" s="139">
        <f>SUM(E87:E89)</f>
        <v>63750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37500</v>
      </c>
      <c r="D92" s="267">
        <v>1</v>
      </c>
      <c r="E92" s="128">
        <f>C92*D92</f>
        <v>37500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56.140625" style="3" customWidth="1"/>
    <col min="3" max="3" width="20.00390625" style="3" customWidth="1"/>
    <col min="4" max="4" width="18.57421875" style="3" customWidth="1"/>
    <col min="5" max="5" width="13.140625" style="3" customWidth="1"/>
    <col min="6" max="6" width="14.7109375" style="3" customWidth="1"/>
    <col min="7" max="7" width="15.00390625" style="3" customWidth="1"/>
    <col min="8" max="8" width="15.7109375" style="3" customWidth="1"/>
    <col min="9" max="9" width="18.7109375" style="3" customWidth="1"/>
    <col min="10" max="10" width="12.7109375" style="3" customWidth="1"/>
    <col min="11" max="11" width="11.421875" style="3" customWidth="1"/>
    <col min="12" max="12" width="13.28125" style="3" customWidth="1"/>
    <col min="13" max="13" width="25.7109375" style="3" customWidth="1"/>
    <col min="14" max="14" width="21.7109375" style="3" customWidth="1"/>
    <col min="15" max="15" width="12.57421875" style="3" customWidth="1"/>
    <col min="16" max="16" width="10.28125" style="3" customWidth="1"/>
    <col min="17" max="17" width="11.7109375" style="3" customWidth="1"/>
    <col min="18" max="18" width="11.57421875" style="3" customWidth="1"/>
    <col min="19" max="22" width="11.421875" style="3" bestFit="1" customWidth="1"/>
    <col min="23" max="23" width="28.7109375" style="3" bestFit="1" customWidth="1"/>
    <col min="24" max="24" width="17.00390625" style="3" bestFit="1" customWidth="1"/>
    <col min="25" max="25" width="20.28125" style="3" customWidth="1"/>
    <col min="26" max="26" width="21.8515625" style="3" bestFit="1" customWidth="1"/>
    <col min="27" max="28" width="16.28125" style="3" bestFit="1" customWidth="1"/>
    <col min="29" max="29" width="13.7109375" style="3" bestFit="1" customWidth="1"/>
    <col min="30" max="32" width="12.00390625" style="3" bestFit="1" customWidth="1"/>
    <col min="33" max="16384" width="6.8515625" style="3" customWidth="1"/>
  </cols>
  <sheetData>
    <row r="1" spans="1:7" ht="16.5" thickBot="1">
      <c r="A1" s="1">
        <v>1</v>
      </c>
      <c r="B1" s="2" t="s">
        <v>0</v>
      </c>
      <c r="G1" s="288" t="s">
        <v>342</v>
      </c>
    </row>
    <row r="2" spans="1:8" ht="15.75">
      <c r="A2" s="1">
        <f aca="true" t="shared" si="0" ref="A2:A65">A1+1</f>
        <v>2</v>
      </c>
      <c r="B2" s="2" t="s">
        <v>267</v>
      </c>
      <c r="F2" s="4"/>
      <c r="G2" s="5" t="s">
        <v>2</v>
      </c>
      <c r="H2" s="6"/>
    </row>
    <row r="3" spans="1:8" ht="15.75">
      <c r="A3" s="1">
        <f t="shared" si="0"/>
        <v>3</v>
      </c>
      <c r="B3" s="2" t="s">
        <v>304</v>
      </c>
      <c r="C3" s="7"/>
      <c r="D3" s="7"/>
      <c r="F3" s="250"/>
      <c r="G3" s="251" t="s">
        <v>3</v>
      </c>
      <c r="H3" s="252"/>
    </row>
    <row r="4" spans="1:18" s="12" customFormat="1" ht="16.5" thickBot="1">
      <c r="A4" s="1">
        <f t="shared" si="0"/>
        <v>4</v>
      </c>
      <c r="B4" s="9">
        <f ca="1">NOW()</f>
        <v>39115.47463599537</v>
      </c>
      <c r="C4" s="10"/>
      <c r="D4" s="10"/>
      <c r="E4" s="11"/>
      <c r="F4" s="253"/>
      <c r="G4" s="251" t="s">
        <v>325</v>
      </c>
      <c r="H4" s="254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16.5" thickBot="1">
      <c r="A5" s="1">
        <f t="shared" si="0"/>
        <v>5</v>
      </c>
      <c r="B5" s="255" t="s">
        <v>326</v>
      </c>
      <c r="C5" s="256"/>
      <c r="D5" s="256"/>
      <c r="E5" s="264"/>
      <c r="F5" s="265"/>
      <c r="G5" s="265"/>
      <c r="H5" s="266"/>
      <c r="I5" s="264"/>
      <c r="J5" s="264"/>
      <c r="K5" s="264"/>
      <c r="L5" s="264"/>
      <c r="M5" s="264"/>
      <c r="N5" s="257"/>
      <c r="O5" s="11"/>
      <c r="P5" s="11"/>
      <c r="Q5" s="11"/>
      <c r="R5" s="11"/>
    </row>
    <row r="6" spans="1:32" s="12" customFormat="1" ht="15.75">
      <c r="A6" s="1">
        <f t="shared" si="0"/>
        <v>6</v>
      </c>
      <c r="B6" s="13" t="s">
        <v>4</v>
      </c>
      <c r="C6" s="14">
        <v>2</v>
      </c>
      <c r="D6" s="11"/>
      <c r="E6" s="15" t="s">
        <v>123</v>
      </c>
      <c r="F6" s="16"/>
      <c r="G6" s="17"/>
      <c r="H6" s="16"/>
      <c r="I6" s="18"/>
      <c r="J6" s="11"/>
      <c r="K6" s="19" t="s">
        <v>313</v>
      </c>
      <c r="L6" s="16"/>
      <c r="M6" s="16"/>
      <c r="N6" s="199"/>
      <c r="W6" s="19" t="s">
        <v>6</v>
      </c>
      <c r="X6" s="20"/>
      <c r="Y6" s="20"/>
      <c r="Z6" s="20"/>
      <c r="AA6" s="20"/>
      <c r="AB6" s="20"/>
      <c r="AC6" s="20"/>
      <c r="AD6" s="21"/>
      <c r="AE6" s="21"/>
      <c r="AF6" s="22"/>
    </row>
    <row r="7" spans="1:41" s="12" customFormat="1" ht="15.75">
      <c r="A7" s="1">
        <f t="shared" si="0"/>
        <v>7</v>
      </c>
      <c r="B7" s="23" t="s">
        <v>7</v>
      </c>
      <c r="C7" s="24">
        <v>1</v>
      </c>
      <c r="D7" s="11"/>
      <c r="E7" s="25" t="s">
        <v>124</v>
      </c>
      <c r="F7" s="26"/>
      <c r="G7" s="79"/>
      <c r="H7" s="81"/>
      <c r="I7" s="28" t="s">
        <v>11</v>
      </c>
      <c r="J7" s="11"/>
      <c r="K7" s="207" t="s">
        <v>314</v>
      </c>
      <c r="L7" s="26"/>
      <c r="M7" s="26"/>
      <c r="N7" s="244">
        <v>0</v>
      </c>
      <c r="W7" s="29" t="s">
        <v>10</v>
      </c>
      <c r="X7" s="30" t="s">
        <v>11</v>
      </c>
      <c r="Y7" s="31" t="s">
        <v>12</v>
      </c>
      <c r="Z7" s="31" t="s">
        <v>13</v>
      </c>
      <c r="AA7" s="31" t="s">
        <v>14</v>
      </c>
      <c r="AB7" s="31" t="s">
        <v>15</v>
      </c>
      <c r="AC7" s="31" t="s">
        <v>16</v>
      </c>
      <c r="AD7" s="31" t="s">
        <v>9</v>
      </c>
      <c r="AE7" s="31" t="s">
        <v>17</v>
      </c>
      <c r="AF7" s="32" t="s">
        <v>18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12" customFormat="1" ht="15.75">
      <c r="A8" s="1">
        <f t="shared" si="0"/>
        <v>8</v>
      </c>
      <c r="B8" s="23" t="s">
        <v>19</v>
      </c>
      <c r="C8" s="24">
        <v>2</v>
      </c>
      <c r="D8" s="11"/>
      <c r="E8" s="25" t="s">
        <v>126</v>
      </c>
      <c r="F8" s="26"/>
      <c r="G8" s="79"/>
      <c r="H8" s="85"/>
      <c r="I8" s="34" t="s">
        <v>22</v>
      </c>
      <c r="J8" s="11"/>
      <c r="K8" s="207" t="s">
        <v>327</v>
      </c>
      <c r="L8" s="213"/>
      <c r="M8" s="213"/>
      <c r="N8" s="275">
        <v>0</v>
      </c>
      <c r="W8" s="35" t="s">
        <v>21</v>
      </c>
      <c r="X8" s="36" t="s">
        <v>11</v>
      </c>
      <c r="Y8" s="37" t="s">
        <v>13</v>
      </c>
      <c r="Z8" s="37" t="s">
        <v>14</v>
      </c>
      <c r="AA8" s="37" t="s">
        <v>22</v>
      </c>
      <c r="AB8" s="37"/>
      <c r="AC8" s="37"/>
      <c r="AE8" s="37"/>
      <c r="AF8" s="38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1">
        <f t="shared" si="0"/>
        <v>9</v>
      </c>
      <c r="B9" s="23" t="s">
        <v>23</v>
      </c>
      <c r="C9" s="24">
        <v>3</v>
      </c>
      <c r="D9" s="7"/>
      <c r="E9" s="25" t="s">
        <v>137</v>
      </c>
      <c r="F9" s="26"/>
      <c r="G9" s="79"/>
      <c r="H9" s="85"/>
      <c r="I9" s="34" t="s">
        <v>31</v>
      </c>
      <c r="J9" s="7"/>
      <c r="K9" s="207" t="s">
        <v>315</v>
      </c>
      <c r="L9" s="26"/>
      <c r="M9" s="26"/>
      <c r="N9" s="244">
        <v>0</v>
      </c>
      <c r="W9" s="35" t="s">
        <v>26</v>
      </c>
      <c r="X9" s="36" t="s">
        <v>11</v>
      </c>
      <c r="Y9" s="37" t="s">
        <v>13</v>
      </c>
      <c r="Z9" s="37" t="s">
        <v>14</v>
      </c>
      <c r="AA9" s="37" t="s">
        <v>15</v>
      </c>
      <c r="AB9" s="37" t="s">
        <v>22</v>
      </c>
      <c r="AC9" s="37"/>
      <c r="AD9" s="37"/>
      <c r="AE9" s="37"/>
      <c r="AF9" s="38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1">
        <f t="shared" si="0"/>
        <v>10</v>
      </c>
      <c r="B10" s="23" t="s">
        <v>27</v>
      </c>
      <c r="C10" s="24">
        <v>4</v>
      </c>
      <c r="D10" s="7"/>
      <c r="E10" s="25" t="s">
        <v>138</v>
      </c>
      <c r="F10" s="26"/>
      <c r="G10" s="79"/>
      <c r="H10" s="85"/>
      <c r="I10" s="34" t="s">
        <v>37</v>
      </c>
      <c r="J10" s="7"/>
      <c r="K10" s="207" t="s">
        <v>316</v>
      </c>
      <c r="L10" s="26"/>
      <c r="M10" s="26"/>
      <c r="N10" s="243" t="s">
        <v>317</v>
      </c>
      <c r="W10" s="35" t="s">
        <v>30</v>
      </c>
      <c r="X10" s="37" t="s">
        <v>31</v>
      </c>
      <c r="Y10" s="37" t="s">
        <v>32</v>
      </c>
      <c r="Z10" s="37" t="s">
        <v>33</v>
      </c>
      <c r="AA10" s="40"/>
      <c r="AB10" s="40"/>
      <c r="AC10" s="40"/>
      <c r="AD10" s="40"/>
      <c r="AE10" s="40"/>
      <c r="AF10" s="38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2.75" customHeight="1">
      <c r="A11" s="1">
        <f t="shared" si="0"/>
        <v>11</v>
      </c>
      <c r="B11" s="23" t="s">
        <v>34</v>
      </c>
      <c r="C11" s="24">
        <v>5</v>
      </c>
      <c r="D11" s="7"/>
      <c r="E11" s="25" t="s">
        <v>139</v>
      </c>
      <c r="F11" s="26"/>
      <c r="G11" s="79"/>
      <c r="H11" s="85"/>
      <c r="I11" s="39" t="s">
        <v>140</v>
      </c>
      <c r="J11" s="7"/>
      <c r="K11" s="207" t="s">
        <v>318</v>
      </c>
      <c r="L11" s="26"/>
      <c r="M11" s="26"/>
      <c r="N11" s="245">
        <v>0</v>
      </c>
      <c r="W11" s="35" t="s">
        <v>36</v>
      </c>
      <c r="X11" s="37" t="s">
        <v>37</v>
      </c>
      <c r="Y11" s="37" t="s">
        <v>38</v>
      </c>
      <c r="Z11" s="37" t="s">
        <v>39</v>
      </c>
      <c r="AA11" s="37" t="s">
        <v>40</v>
      </c>
      <c r="AB11" s="37" t="s">
        <v>41</v>
      </c>
      <c r="AC11" s="37" t="s">
        <v>42</v>
      </c>
      <c r="AD11" s="37" t="s">
        <v>43</v>
      </c>
      <c r="AE11" s="37" t="s">
        <v>44</v>
      </c>
      <c r="AF11" s="42" t="s">
        <v>33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2.75" customHeight="1">
      <c r="A12" s="1">
        <f t="shared" si="0"/>
        <v>12</v>
      </c>
      <c r="B12" s="23" t="s">
        <v>9</v>
      </c>
      <c r="C12" s="24">
        <v>6</v>
      </c>
      <c r="D12" s="7"/>
      <c r="E12" s="25" t="s">
        <v>142</v>
      </c>
      <c r="F12" s="26"/>
      <c r="G12" s="79"/>
      <c r="H12" s="85"/>
      <c r="I12" s="51">
        <v>171.7</v>
      </c>
      <c r="J12" s="7"/>
      <c r="K12" s="207" t="s">
        <v>319</v>
      </c>
      <c r="L12" s="26"/>
      <c r="M12" s="26"/>
      <c r="N12" s="245">
        <v>0</v>
      </c>
      <c r="W12" s="35" t="s">
        <v>46</v>
      </c>
      <c r="X12" s="37" t="s">
        <v>37</v>
      </c>
      <c r="Y12" s="37" t="s">
        <v>38</v>
      </c>
      <c r="Z12" s="37" t="s">
        <v>39</v>
      </c>
      <c r="AA12" s="37" t="s">
        <v>40</v>
      </c>
      <c r="AB12" s="37" t="s">
        <v>47</v>
      </c>
      <c r="AC12" s="37" t="s">
        <v>48</v>
      </c>
      <c r="AD12" s="37" t="s">
        <v>49</v>
      </c>
      <c r="AE12" s="37" t="s">
        <v>44</v>
      </c>
      <c r="AF12" s="42" t="s">
        <v>33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2.75" customHeight="1">
      <c r="A13" s="1">
        <f t="shared" si="0"/>
        <v>13</v>
      </c>
      <c r="B13" s="23" t="s">
        <v>50</v>
      </c>
      <c r="C13" s="24">
        <v>7</v>
      </c>
      <c r="D13" s="43"/>
      <c r="E13" s="25" t="s">
        <v>152</v>
      </c>
      <c r="F13" s="26"/>
      <c r="G13" s="79"/>
      <c r="H13" s="85"/>
      <c r="I13" s="41">
        <v>2</v>
      </c>
      <c r="J13" s="7"/>
      <c r="K13" s="207" t="s">
        <v>320</v>
      </c>
      <c r="L13" s="26"/>
      <c r="M13" s="26"/>
      <c r="N13" s="245">
        <v>0</v>
      </c>
      <c r="W13" s="35" t="s">
        <v>53</v>
      </c>
      <c r="X13" s="37" t="s">
        <v>54</v>
      </c>
      <c r="Y13" s="37" t="s">
        <v>55</v>
      </c>
      <c r="Z13" s="37" t="s">
        <v>56</v>
      </c>
      <c r="AA13" s="37" t="s">
        <v>44</v>
      </c>
      <c r="AB13" s="37" t="s">
        <v>22</v>
      </c>
      <c r="AC13" s="37" t="s">
        <v>33</v>
      </c>
      <c r="AD13" s="37"/>
      <c r="AE13" s="37"/>
      <c r="AF13" s="38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2.75" customHeight="1" thickBot="1">
      <c r="A14" s="1">
        <f t="shared" si="0"/>
        <v>14</v>
      </c>
      <c r="B14" s="45" t="s">
        <v>57</v>
      </c>
      <c r="C14" s="46">
        <v>8</v>
      </c>
      <c r="D14" s="7"/>
      <c r="E14" s="25" t="s">
        <v>46</v>
      </c>
      <c r="F14" s="26"/>
      <c r="G14" s="79"/>
      <c r="H14" s="85"/>
      <c r="I14" s="44" t="s">
        <v>37</v>
      </c>
      <c r="J14" s="7"/>
      <c r="K14" s="208" t="s">
        <v>321</v>
      </c>
      <c r="L14" s="68"/>
      <c r="M14" s="68"/>
      <c r="N14" s="246">
        <v>0</v>
      </c>
      <c r="W14" s="35" t="s">
        <v>60</v>
      </c>
      <c r="X14" s="37" t="s">
        <v>61</v>
      </c>
      <c r="Y14" s="37" t="s">
        <v>62</v>
      </c>
      <c r="Z14" s="37" t="s">
        <v>63</v>
      </c>
      <c r="AA14" s="37" t="s">
        <v>64</v>
      </c>
      <c r="AB14" s="37" t="s">
        <v>44</v>
      </c>
      <c r="AC14" s="37" t="s">
        <v>22</v>
      </c>
      <c r="AD14" s="37" t="s">
        <v>33</v>
      </c>
      <c r="AE14" s="37"/>
      <c r="AF14" s="38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2.75" customHeight="1" thickBot="1">
      <c r="A15" s="1">
        <f t="shared" si="0"/>
        <v>15</v>
      </c>
      <c r="B15" s="15" t="s">
        <v>322</v>
      </c>
      <c r="C15" s="18"/>
      <c r="D15" s="7"/>
      <c r="E15" s="25" t="s">
        <v>80</v>
      </c>
      <c r="F15" s="26"/>
      <c r="G15" s="79"/>
      <c r="H15" s="85"/>
      <c r="I15" s="51">
        <v>200</v>
      </c>
      <c r="J15" s="7"/>
      <c r="K15"/>
      <c r="L15"/>
      <c r="M15"/>
      <c r="N15"/>
      <c r="W15" s="35" t="s">
        <v>66</v>
      </c>
      <c r="X15" s="37" t="s">
        <v>67</v>
      </c>
      <c r="Y15" s="37" t="s">
        <v>68</v>
      </c>
      <c r="Z15" s="37" t="s">
        <v>69</v>
      </c>
      <c r="AA15" s="37" t="s">
        <v>70</v>
      </c>
      <c r="AB15" s="37" t="s">
        <v>44</v>
      </c>
      <c r="AC15" s="37" t="s">
        <v>22</v>
      </c>
      <c r="AD15" s="37" t="s">
        <v>33</v>
      </c>
      <c r="AE15" s="37"/>
      <c r="AF15" s="38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2.75" customHeight="1">
      <c r="A16" s="1">
        <f t="shared" si="0"/>
        <v>16</v>
      </c>
      <c r="B16" s="48" t="s">
        <v>71</v>
      </c>
      <c r="C16" s="276">
        <f ca="1">NOW()</f>
        <v>39115.47463599537</v>
      </c>
      <c r="D16" s="7"/>
      <c r="E16" s="25" t="s">
        <v>113</v>
      </c>
      <c r="F16" s="26"/>
      <c r="G16" s="79"/>
      <c r="H16" s="85"/>
      <c r="I16" s="41">
        <v>1</v>
      </c>
      <c r="J16" s="7"/>
      <c r="K16" s="285" t="s">
        <v>340</v>
      </c>
      <c r="L16" s="286"/>
      <c r="M16" s="286"/>
      <c r="N16" s="287"/>
      <c r="S16"/>
      <c r="W16" s="35" t="s">
        <v>72</v>
      </c>
      <c r="X16" s="37" t="s">
        <v>73</v>
      </c>
      <c r="Y16" s="37" t="s">
        <v>74</v>
      </c>
      <c r="Z16" s="37" t="s">
        <v>75</v>
      </c>
      <c r="AA16" s="37" t="s">
        <v>76</v>
      </c>
      <c r="AB16" s="37" t="s">
        <v>77</v>
      </c>
      <c r="AC16" s="37" t="s">
        <v>78</v>
      </c>
      <c r="AD16" s="37" t="s">
        <v>22</v>
      </c>
      <c r="AE16" s="37" t="s">
        <v>33</v>
      </c>
      <c r="AF16" s="38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2.75" customHeight="1">
      <c r="A17" s="1">
        <f t="shared" si="0"/>
        <v>17</v>
      </c>
      <c r="B17" s="49" t="s">
        <v>79</v>
      </c>
      <c r="C17" s="277" t="s">
        <v>59</v>
      </c>
      <c r="D17" s="7"/>
      <c r="E17" s="25" t="s">
        <v>157</v>
      </c>
      <c r="F17" s="26"/>
      <c r="G17" s="79"/>
      <c r="H17" s="85"/>
      <c r="I17" s="51">
        <v>30</v>
      </c>
      <c r="J17" s="7"/>
      <c r="K17" s="279" t="s">
        <v>336</v>
      </c>
      <c r="L17" s="280"/>
      <c r="M17" s="280"/>
      <c r="N17" s="281"/>
      <c r="S17"/>
      <c r="W17" s="35" t="s">
        <v>24</v>
      </c>
      <c r="X17" s="37" t="s">
        <v>25</v>
      </c>
      <c r="Y17" s="37" t="s">
        <v>81</v>
      </c>
      <c r="Z17" s="37" t="s">
        <v>82</v>
      </c>
      <c r="AA17" s="37" t="s">
        <v>83</v>
      </c>
      <c r="AB17" s="37" t="s">
        <v>44</v>
      </c>
      <c r="AC17" s="37" t="s">
        <v>33</v>
      </c>
      <c r="AD17" s="37"/>
      <c r="AE17" s="52"/>
      <c r="AF17" s="38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2.75" customHeight="1">
      <c r="A18" s="1">
        <f t="shared" si="0"/>
        <v>18</v>
      </c>
      <c r="B18" s="49" t="s">
        <v>84</v>
      </c>
      <c r="C18" s="277" t="s">
        <v>328</v>
      </c>
      <c r="D18" s="7"/>
      <c r="E18" s="25" t="s">
        <v>159</v>
      </c>
      <c r="F18" s="26"/>
      <c r="G18" s="79"/>
      <c r="H18" s="85"/>
      <c r="I18" s="41" t="s">
        <v>56</v>
      </c>
      <c r="J18" s="7"/>
      <c r="K18" s="279" t="s">
        <v>337</v>
      </c>
      <c r="L18" s="280"/>
      <c r="M18" s="280"/>
      <c r="N18" s="281"/>
      <c r="S18"/>
      <c r="W18" s="54" t="s">
        <v>28</v>
      </c>
      <c r="X18" s="37" t="s">
        <v>86</v>
      </c>
      <c r="Y18" s="37" t="s">
        <v>87</v>
      </c>
      <c r="Z18" s="37" t="s">
        <v>88</v>
      </c>
      <c r="AA18" s="37" t="s">
        <v>44</v>
      </c>
      <c r="AB18" s="37" t="s">
        <v>22</v>
      </c>
      <c r="AC18" s="37" t="s">
        <v>33</v>
      </c>
      <c r="AD18" s="52"/>
      <c r="AE18" s="52"/>
      <c r="AF18" s="38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2.75" customHeight="1">
      <c r="A19" s="1">
        <f t="shared" si="0"/>
        <v>19</v>
      </c>
      <c r="B19" s="49" t="s">
        <v>89</v>
      </c>
      <c r="C19" s="277" t="s">
        <v>328</v>
      </c>
      <c r="D19" s="7"/>
      <c r="E19" s="25" t="s">
        <v>161</v>
      </c>
      <c r="F19" s="26"/>
      <c r="G19" s="79"/>
      <c r="H19" s="85"/>
      <c r="I19" s="41" t="s">
        <v>61</v>
      </c>
      <c r="J19" s="7"/>
      <c r="K19" s="279" t="s">
        <v>334</v>
      </c>
      <c r="L19" s="280"/>
      <c r="M19" s="280"/>
      <c r="N19" s="281"/>
      <c r="S19"/>
      <c r="W19" s="54" t="s">
        <v>92</v>
      </c>
      <c r="X19" s="37" t="s">
        <v>93</v>
      </c>
      <c r="Y19" s="37" t="s">
        <v>94</v>
      </c>
      <c r="Z19" s="37" t="s">
        <v>91</v>
      </c>
      <c r="AA19" s="37" t="s">
        <v>64</v>
      </c>
      <c r="AB19" s="37" t="s">
        <v>61</v>
      </c>
      <c r="AC19" s="37" t="s">
        <v>44</v>
      </c>
      <c r="AD19" s="37" t="s">
        <v>22</v>
      </c>
      <c r="AE19" s="37" t="s">
        <v>33</v>
      </c>
      <c r="AF19" s="38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2.75" customHeight="1">
      <c r="A20" s="1">
        <f t="shared" si="0"/>
        <v>20</v>
      </c>
      <c r="B20" s="49" t="s">
        <v>95</v>
      </c>
      <c r="C20" s="55">
        <v>2003</v>
      </c>
      <c r="D20" s="7"/>
      <c r="E20" s="25" t="s">
        <v>163</v>
      </c>
      <c r="F20" s="26"/>
      <c r="G20" s="79"/>
      <c r="H20" s="85"/>
      <c r="I20" s="44" t="s">
        <v>164</v>
      </c>
      <c r="J20" s="7"/>
      <c r="K20" s="279" t="s">
        <v>341</v>
      </c>
      <c r="L20" s="280"/>
      <c r="M20" s="280"/>
      <c r="N20" s="281"/>
      <c r="S20"/>
      <c r="W20" s="54" t="s">
        <v>97</v>
      </c>
      <c r="X20" s="37" t="s">
        <v>98</v>
      </c>
      <c r="Y20" s="37" t="s">
        <v>99</v>
      </c>
      <c r="Z20" s="37" t="s">
        <v>100</v>
      </c>
      <c r="AA20" s="37" t="s">
        <v>101</v>
      </c>
      <c r="AB20" s="37" t="s">
        <v>44</v>
      </c>
      <c r="AC20" s="37" t="s">
        <v>22</v>
      </c>
      <c r="AD20" s="37" t="s">
        <v>33</v>
      </c>
      <c r="AE20" s="52"/>
      <c r="AF20" s="38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 customHeight="1" thickBot="1">
      <c r="A21" s="1">
        <f t="shared" si="0"/>
        <v>21</v>
      </c>
      <c r="B21" s="49" t="s">
        <v>102</v>
      </c>
      <c r="C21" s="55">
        <v>2007</v>
      </c>
      <c r="D21" s="7"/>
      <c r="E21" s="25" t="s">
        <v>166</v>
      </c>
      <c r="F21" s="26"/>
      <c r="G21" s="79"/>
      <c r="H21" s="85"/>
      <c r="I21" s="44" t="s">
        <v>167</v>
      </c>
      <c r="J21" s="7"/>
      <c r="K21" s="279" t="s">
        <v>335</v>
      </c>
      <c r="L21" s="280"/>
      <c r="M21" s="280"/>
      <c r="N21" s="281"/>
      <c r="S21"/>
      <c r="W21" s="57" t="s">
        <v>104</v>
      </c>
      <c r="X21" s="58" t="s">
        <v>99</v>
      </c>
      <c r="Y21" s="58" t="s">
        <v>105</v>
      </c>
      <c r="Z21" s="58" t="s">
        <v>44</v>
      </c>
      <c r="AA21" s="58" t="s">
        <v>22</v>
      </c>
      <c r="AB21" s="58" t="s">
        <v>33</v>
      </c>
      <c r="AC21" s="59"/>
      <c r="AD21" s="59"/>
      <c r="AE21" s="59"/>
      <c r="AF21" s="60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 customHeight="1" thickBot="1">
      <c r="A22" s="1">
        <f t="shared" si="0"/>
        <v>22</v>
      </c>
      <c r="B22" s="49" t="s">
        <v>106</v>
      </c>
      <c r="C22" s="61">
        <f>C21-C20</f>
        <v>4</v>
      </c>
      <c r="D22" s="7"/>
      <c r="E22" s="25" t="s">
        <v>169</v>
      </c>
      <c r="F22" s="26"/>
      <c r="G22" s="79"/>
      <c r="H22" s="85"/>
      <c r="I22" s="44" t="s">
        <v>59</v>
      </c>
      <c r="J22" s="7"/>
      <c r="K22" s="279" t="s">
        <v>339</v>
      </c>
      <c r="L22" s="280"/>
      <c r="M22" s="280"/>
      <c r="N22" s="281"/>
      <c r="S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 customHeight="1" thickBot="1">
      <c r="A23" s="1">
        <f t="shared" si="0"/>
        <v>23</v>
      </c>
      <c r="B23" s="49" t="s">
        <v>108</v>
      </c>
      <c r="C23" s="41">
        <v>7050</v>
      </c>
      <c r="D23" s="7"/>
      <c r="E23" s="25" t="s">
        <v>170</v>
      </c>
      <c r="F23" s="7"/>
      <c r="G23" s="7"/>
      <c r="H23" s="85"/>
      <c r="I23" s="44" t="s">
        <v>59</v>
      </c>
      <c r="J23" s="7"/>
      <c r="K23" s="282" t="s">
        <v>338</v>
      </c>
      <c r="L23" s="283"/>
      <c r="M23" s="283"/>
      <c r="N23" s="284"/>
      <c r="S23"/>
      <c r="W23" s="19" t="s">
        <v>79</v>
      </c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 customHeight="1">
      <c r="A24" s="1">
        <f t="shared" si="0"/>
        <v>24</v>
      </c>
      <c r="B24" s="49" t="s">
        <v>110</v>
      </c>
      <c r="C24" s="34">
        <v>300</v>
      </c>
      <c r="D24" s="7"/>
      <c r="E24" s="25" t="s">
        <v>66</v>
      </c>
      <c r="F24" s="26"/>
      <c r="G24" s="79"/>
      <c r="H24" s="85"/>
      <c r="I24" s="126" t="s">
        <v>67</v>
      </c>
      <c r="J24" s="7"/>
      <c r="S24"/>
      <c r="W24" s="62" t="s">
        <v>111</v>
      </c>
      <c r="X24" s="6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 customHeight="1">
      <c r="A25" s="1">
        <f t="shared" si="0"/>
        <v>25</v>
      </c>
      <c r="B25" s="49" t="s">
        <v>112</v>
      </c>
      <c r="C25" s="206">
        <f>C24*1000/C26</f>
        <v>582.5242718446602</v>
      </c>
      <c r="D25" s="7"/>
      <c r="E25" s="25" t="s">
        <v>176</v>
      </c>
      <c r="F25" s="26"/>
      <c r="G25" s="79"/>
      <c r="H25" s="85"/>
      <c r="I25" s="131" t="s">
        <v>73</v>
      </c>
      <c r="J25" s="7"/>
      <c r="S25"/>
      <c r="W25" s="65" t="s">
        <v>114</v>
      </c>
      <c r="X25" s="6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 customHeight="1" thickBot="1">
      <c r="A26" s="1">
        <f t="shared" si="0"/>
        <v>26</v>
      </c>
      <c r="B26" s="49" t="s">
        <v>115</v>
      </c>
      <c r="C26" s="28">
        <v>515</v>
      </c>
      <c r="D26" s="7"/>
      <c r="E26" s="67" t="s">
        <v>179</v>
      </c>
      <c r="F26" s="68"/>
      <c r="G26" s="135"/>
      <c r="H26" s="136"/>
      <c r="I26" s="137" t="s">
        <v>59</v>
      </c>
      <c r="J26" s="7"/>
      <c r="S26"/>
      <c r="W26" s="65" t="s">
        <v>117</v>
      </c>
      <c r="X26" s="6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 customHeight="1">
      <c r="A27" s="1">
        <f t="shared" si="0"/>
        <v>27</v>
      </c>
      <c r="B27" s="49" t="s">
        <v>118</v>
      </c>
      <c r="C27" s="71">
        <v>0</v>
      </c>
      <c r="D27" s="7"/>
      <c r="J27" s="7"/>
      <c r="O27" s="7"/>
      <c r="W27" s="65" t="s">
        <v>119</v>
      </c>
      <c r="X27" s="6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 customHeight="1" thickBot="1">
      <c r="A28" s="1">
        <f t="shared" si="0"/>
        <v>28</v>
      </c>
      <c r="B28" s="49" t="s">
        <v>120</v>
      </c>
      <c r="C28" s="72">
        <f>C26*(1-C27)</f>
        <v>515</v>
      </c>
      <c r="D28" s="7"/>
      <c r="J28" s="7"/>
      <c r="O28" s="7"/>
      <c r="P28" s="7"/>
      <c r="Q28" s="79"/>
      <c r="R28" s="79"/>
      <c r="W28" s="73" t="s">
        <v>59</v>
      </c>
      <c r="X28" s="7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 customHeight="1">
      <c r="A29" s="1">
        <f t="shared" si="0"/>
        <v>29</v>
      </c>
      <c r="B29" s="49" t="s">
        <v>121</v>
      </c>
      <c r="C29" s="75">
        <f>B34</f>
        <v>23.3997720582191</v>
      </c>
      <c r="D29" s="7"/>
      <c r="E29" s="76"/>
      <c r="J29" s="7"/>
      <c r="O29" s="7"/>
      <c r="P29" s="7"/>
      <c r="Q29" s="79"/>
      <c r="R29" s="79"/>
      <c r="W29" s="15" t="s">
        <v>5</v>
      </c>
      <c r="X29" s="16"/>
      <c r="Y29" s="17"/>
      <c r="Z29" s="18"/>
      <c r="AA29" s="15" t="s">
        <v>182</v>
      </c>
      <c r="AB29" s="16"/>
      <c r="AC29" s="17"/>
      <c r="AD29" s="1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 customHeight="1" thickBot="1">
      <c r="A30" s="1">
        <f t="shared" si="0"/>
        <v>30</v>
      </c>
      <c r="B30" s="77" t="s">
        <v>122</v>
      </c>
      <c r="C30" s="78">
        <f>C29/(1-C27)</f>
        <v>23.3997720582191</v>
      </c>
      <c r="D30" s="7"/>
      <c r="J30" s="7"/>
      <c r="O30" s="7"/>
      <c r="P30" s="7"/>
      <c r="Q30" s="79"/>
      <c r="R30" s="79"/>
      <c r="W30" s="25" t="s">
        <v>8</v>
      </c>
      <c r="X30" s="26"/>
      <c r="Y30" s="27"/>
      <c r="Z30" s="28" t="s">
        <v>16</v>
      </c>
      <c r="AA30" s="25" t="s">
        <v>185</v>
      </c>
      <c r="AB30" s="26"/>
      <c r="AC30" s="33"/>
      <c r="AD30" s="34" t="s">
        <v>49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 customHeight="1" thickBot="1">
      <c r="A31" s="1">
        <f t="shared" si="0"/>
        <v>31</v>
      </c>
      <c r="B31" s="7"/>
      <c r="C31" s="7"/>
      <c r="D31" s="7"/>
      <c r="E31" s="9"/>
      <c r="F31" s="26"/>
      <c r="G31" s="79"/>
      <c r="H31" s="26"/>
      <c r="I31" s="80"/>
      <c r="J31" s="7"/>
      <c r="K31" s="7"/>
      <c r="L31" s="7"/>
      <c r="M31" s="7"/>
      <c r="N31" s="7"/>
      <c r="O31" s="7"/>
      <c r="P31" s="7"/>
      <c r="Q31" s="79"/>
      <c r="R31" s="79"/>
      <c r="W31" s="25" t="s">
        <v>20</v>
      </c>
      <c r="X31" s="26"/>
      <c r="Y31" s="33"/>
      <c r="Z31" s="34" t="s">
        <v>14</v>
      </c>
      <c r="AA31" s="25" t="s">
        <v>188</v>
      </c>
      <c r="AB31" s="26"/>
      <c r="AC31" s="33"/>
      <c r="AD31" s="142"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.75" customHeight="1">
      <c r="A32" s="1">
        <f t="shared" si="0"/>
        <v>32</v>
      </c>
      <c r="B32" s="82" t="s">
        <v>125</v>
      </c>
      <c r="C32" s="83"/>
      <c r="D32" s="17"/>
      <c r="E32" s="84"/>
      <c r="F32" s="84"/>
      <c r="G32" s="84"/>
      <c r="H32" s="84"/>
      <c r="I32" s="84"/>
      <c r="J32" s="84"/>
      <c r="K32" s="6"/>
      <c r="M32"/>
      <c r="N32"/>
      <c r="O32"/>
      <c r="P32"/>
      <c r="Q32"/>
      <c r="R32" s="79"/>
      <c r="W32" s="25" t="s">
        <v>24</v>
      </c>
      <c r="X32" s="26"/>
      <c r="Y32" s="33"/>
      <c r="Z32" s="34" t="s">
        <v>25</v>
      </c>
      <c r="AA32" s="25" t="s">
        <v>191</v>
      </c>
      <c r="AB32" s="26"/>
      <c r="AC32" s="33"/>
      <c r="AD32" s="51">
        <v>20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.75" customHeight="1">
      <c r="A33" s="1">
        <f t="shared" si="0"/>
        <v>33</v>
      </c>
      <c r="B33" s="86" t="s">
        <v>127</v>
      </c>
      <c r="C33" s="87" t="s">
        <v>128</v>
      </c>
      <c r="D33" s="88" t="s">
        <v>129</v>
      </c>
      <c r="E33" s="88" t="s">
        <v>130</v>
      </c>
      <c r="F33" s="88" t="s">
        <v>131</v>
      </c>
      <c r="G33" s="88" t="s">
        <v>132</v>
      </c>
      <c r="H33" s="88" t="s">
        <v>133</v>
      </c>
      <c r="I33" s="88" t="s">
        <v>134</v>
      </c>
      <c r="J33" s="88" t="s">
        <v>135</v>
      </c>
      <c r="K33" s="89" t="s">
        <v>136</v>
      </c>
      <c r="M33"/>
      <c r="N33"/>
      <c r="O33"/>
      <c r="P33"/>
      <c r="Q33"/>
      <c r="R33" s="79"/>
      <c r="W33" s="25" t="s">
        <v>28</v>
      </c>
      <c r="X33" s="26"/>
      <c r="Y33" s="33"/>
      <c r="Z33" s="39" t="s">
        <v>86</v>
      </c>
      <c r="AA33" s="25" t="s">
        <v>194</v>
      </c>
      <c r="AB33" s="26"/>
      <c r="AC33" s="33"/>
      <c r="AD33" s="34" t="s">
        <v>49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8.75" customHeight="1" thickBot="1">
      <c r="A34" s="1">
        <f t="shared" si="0"/>
        <v>34</v>
      </c>
      <c r="B34" s="90">
        <f>C34*(D34+E34+F34+G34+H34+I34+J34)+K34</f>
        <v>23.3997720582191</v>
      </c>
      <c r="C34" s="91">
        <v>1.1</v>
      </c>
      <c r="D34" s="92">
        <f>J38</f>
        <v>6.1246442346056655</v>
      </c>
      <c r="E34" s="92">
        <f>J39</f>
        <v>2.424193994093678</v>
      </c>
      <c r="F34" s="92">
        <f>J40</f>
        <v>3.279691448330895</v>
      </c>
      <c r="G34" s="92">
        <f>J41</f>
        <v>2.6679079664849046</v>
      </c>
      <c r="H34" s="92">
        <f>J42</f>
        <v>6.277430509376246</v>
      </c>
      <c r="I34" s="92">
        <f>J43</f>
        <v>0.008378773773108127</v>
      </c>
      <c r="J34" s="92">
        <f>J44</f>
        <v>0.3391408431972337</v>
      </c>
      <c r="K34" s="93">
        <f>J45</f>
        <v>0.16624551137119298</v>
      </c>
      <c r="M34"/>
      <c r="N34"/>
      <c r="O34"/>
      <c r="P34"/>
      <c r="Q34"/>
      <c r="R34" s="79"/>
      <c r="W34" s="25" t="s">
        <v>35</v>
      </c>
      <c r="X34" s="26"/>
      <c r="Y34" s="33"/>
      <c r="Z34" s="41">
        <v>1800000</v>
      </c>
      <c r="AA34" s="67" t="s">
        <v>197</v>
      </c>
      <c r="AB34" s="68"/>
      <c r="AC34" s="69"/>
      <c r="AD34" s="143">
        <v>1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 customHeight="1" thickBot="1">
      <c r="A35" s="1">
        <f t="shared" si="0"/>
        <v>35</v>
      </c>
      <c r="B35" s="9"/>
      <c r="C35" s="94"/>
      <c r="D35" s="79"/>
      <c r="M35"/>
      <c r="N35"/>
      <c r="O35"/>
      <c r="P35"/>
      <c r="Q35"/>
      <c r="R35" s="79"/>
      <c r="W35" s="25" t="s">
        <v>45</v>
      </c>
      <c r="X35" s="26"/>
      <c r="Y35" s="33"/>
      <c r="Z35" s="41">
        <v>4</v>
      </c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 customHeight="1" thickBot="1">
      <c r="A36" s="1">
        <f t="shared" si="0"/>
        <v>36</v>
      </c>
      <c r="B36" s="95" t="s">
        <v>141</v>
      </c>
      <c r="C36" s="96"/>
      <c r="D36" s="96"/>
      <c r="E36" s="96"/>
      <c r="F36" s="96"/>
      <c r="G36" s="96"/>
      <c r="H36" s="96"/>
      <c r="I36" s="96"/>
      <c r="J36" s="97"/>
      <c r="K36" s="7"/>
      <c r="L36" s="7"/>
      <c r="M36" s="198"/>
      <c r="N36" s="198"/>
      <c r="O36" s="198"/>
      <c r="P36" s="198"/>
      <c r="Q36" s="198"/>
      <c r="R36" s="79"/>
      <c r="W36" s="25" t="s">
        <v>51</v>
      </c>
      <c r="X36" s="26"/>
      <c r="Y36" s="33"/>
      <c r="Z36" s="44" t="s">
        <v>164</v>
      </c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6.25" customHeight="1">
      <c r="A37" s="1">
        <f t="shared" si="0"/>
        <v>37</v>
      </c>
      <c r="B37" s="98" t="s">
        <v>143</v>
      </c>
      <c r="C37" s="99" t="s">
        <v>144</v>
      </c>
      <c r="D37" s="100" t="s">
        <v>145</v>
      </c>
      <c r="E37" s="100" t="s">
        <v>146</v>
      </c>
      <c r="F37" s="100" t="s">
        <v>147</v>
      </c>
      <c r="G37" s="100" t="s">
        <v>148</v>
      </c>
      <c r="H37" s="99" t="s">
        <v>149</v>
      </c>
      <c r="I37" s="99" t="s">
        <v>150</v>
      </c>
      <c r="J37" s="101" t="s">
        <v>151</v>
      </c>
      <c r="K37" s="7"/>
      <c r="L37" s="7"/>
      <c r="M37" s="198"/>
      <c r="N37" s="198"/>
      <c r="O37" s="198"/>
      <c r="P37" s="198"/>
      <c r="Q37" s="198"/>
      <c r="R37" s="79"/>
      <c r="W37" s="25" t="s">
        <v>58</v>
      </c>
      <c r="X37" s="26"/>
      <c r="Y37" s="33"/>
      <c r="Z37" s="44" t="s">
        <v>167</v>
      </c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 customHeight="1">
      <c r="A38" s="1">
        <f t="shared" si="0"/>
        <v>38</v>
      </c>
      <c r="B38" s="102" t="s">
        <v>153</v>
      </c>
      <c r="C38" s="103">
        <f>C49</f>
        <v>1400880</v>
      </c>
      <c r="D38" s="104">
        <f aca="true" t="shared" si="1" ref="D38:D45">C38/$C$26</f>
        <v>2720.1553398058254</v>
      </c>
      <c r="E38" s="105">
        <f aca="true" t="shared" si="2" ref="E38:E45">C38/$C$26/365</f>
        <v>7.452480383029658</v>
      </c>
      <c r="F38" s="106">
        <f>C38-H38</f>
        <v>249600</v>
      </c>
      <c r="G38" s="107">
        <f aca="true" t="shared" si="3" ref="G38:G45">IF(C38=0,0,H38/C38)</f>
        <v>0.821826280623608</v>
      </c>
      <c r="H38" s="103">
        <f>E49</f>
        <v>1151280</v>
      </c>
      <c r="I38" s="108">
        <f aca="true" t="shared" si="4" ref="I38:I45">H38/$C$26</f>
        <v>2235.4951456310678</v>
      </c>
      <c r="J38" s="109">
        <f aca="true" t="shared" si="5" ref="J38:J45">H38/$C$26/365</f>
        <v>6.1246442346056655</v>
      </c>
      <c r="K38" s="7"/>
      <c r="L38" s="7"/>
      <c r="M38" s="198"/>
      <c r="N38" s="198"/>
      <c r="O38" s="198"/>
      <c r="P38" s="198"/>
      <c r="Q38" s="198"/>
      <c r="R38" s="79"/>
      <c r="W38" s="25" t="s">
        <v>65</v>
      </c>
      <c r="X38" s="26"/>
      <c r="Y38" s="33"/>
      <c r="Z38" s="47">
        <f>C23*C26/1000</f>
        <v>3630.75</v>
      </c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 customHeight="1">
      <c r="A39" s="1">
        <f t="shared" si="0"/>
        <v>39</v>
      </c>
      <c r="B39" s="102" t="s">
        <v>154</v>
      </c>
      <c r="C39" s="103">
        <f>C58</f>
        <v>539500</v>
      </c>
      <c r="D39" s="104">
        <f t="shared" si="1"/>
        <v>1047.5728155339805</v>
      </c>
      <c r="E39" s="105">
        <f t="shared" si="2"/>
        <v>2.8700625083122753</v>
      </c>
      <c r="F39" s="106">
        <f>C39-H39</f>
        <v>83812.13396024087</v>
      </c>
      <c r="G39" s="110">
        <f t="shared" si="3"/>
        <v>0.8446485005370883</v>
      </c>
      <c r="H39" s="103">
        <f>E58</f>
        <v>455687.86603975913</v>
      </c>
      <c r="I39" s="104">
        <f t="shared" si="4"/>
        <v>884.8308078441925</v>
      </c>
      <c r="J39" s="109">
        <f t="shared" si="5"/>
        <v>2.424193994093678</v>
      </c>
      <c r="K39" s="7"/>
      <c r="L39" s="7"/>
      <c r="M39" s="198"/>
      <c r="N39" s="198"/>
      <c r="O39" s="198"/>
      <c r="P39" s="198"/>
      <c r="Q39" s="198"/>
      <c r="R39" s="79"/>
      <c r="W39" s="25" t="s">
        <v>46</v>
      </c>
      <c r="X39" s="26"/>
      <c r="Y39" s="33"/>
      <c r="Z39" s="44" t="s">
        <v>37</v>
      </c>
      <c r="AA39" s="7"/>
      <c r="AB39"/>
      <c r="AC39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 customHeight="1">
      <c r="A40" s="1">
        <f t="shared" si="0"/>
        <v>40</v>
      </c>
      <c r="B40" s="102" t="s">
        <v>155</v>
      </c>
      <c r="C40" s="103">
        <f>C64</f>
        <v>685000</v>
      </c>
      <c r="D40" s="104">
        <f t="shared" si="1"/>
        <v>1330.0970873786407</v>
      </c>
      <c r="E40" s="105">
        <f t="shared" si="2"/>
        <v>3.6441016092565497</v>
      </c>
      <c r="F40" s="106">
        <f>C40-H40</f>
        <v>68500</v>
      </c>
      <c r="G40" s="110">
        <f t="shared" si="3"/>
        <v>0.9</v>
      </c>
      <c r="H40" s="103">
        <f>E64</f>
        <v>616500</v>
      </c>
      <c r="I40" s="104">
        <f t="shared" si="4"/>
        <v>1197.0873786407767</v>
      </c>
      <c r="J40" s="109">
        <f t="shared" si="5"/>
        <v>3.279691448330895</v>
      </c>
      <c r="K40" s="7"/>
      <c r="L40" s="7"/>
      <c r="M40" s="198"/>
      <c r="N40" s="198"/>
      <c r="O40" s="198"/>
      <c r="P40" s="198"/>
      <c r="Q40" s="198"/>
      <c r="R40" s="79"/>
      <c r="W40" s="25" t="s">
        <v>80</v>
      </c>
      <c r="X40" s="26"/>
      <c r="Y40" s="33"/>
      <c r="Z40" s="51">
        <v>255.5</v>
      </c>
      <c r="AA40" s="7"/>
      <c r="AB40"/>
      <c r="AC40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">
        <f t="shared" si="0"/>
        <v>41</v>
      </c>
      <c r="B41" s="102" t="s">
        <v>156</v>
      </c>
      <c r="C41" s="103">
        <f>C72</f>
        <v>795000</v>
      </c>
      <c r="D41" s="104">
        <f t="shared" si="1"/>
        <v>1543.6893203883494</v>
      </c>
      <c r="E41" s="105">
        <f t="shared" si="2"/>
        <v>4.229285809283149</v>
      </c>
      <c r="F41" s="106">
        <f>C41-H41</f>
        <v>293500</v>
      </c>
      <c r="G41" s="110">
        <f t="shared" si="3"/>
        <v>0.630817610062893</v>
      </c>
      <c r="H41" s="103">
        <f>E72</f>
        <v>501500</v>
      </c>
      <c r="I41" s="104">
        <f t="shared" si="4"/>
        <v>973.7864077669902</v>
      </c>
      <c r="J41" s="109">
        <f t="shared" si="5"/>
        <v>2.6679079664849046</v>
      </c>
      <c r="K41" s="7"/>
      <c r="L41" s="7"/>
      <c r="M41" s="198"/>
      <c r="N41" s="198"/>
      <c r="O41" s="198"/>
      <c r="P41" s="198"/>
      <c r="Q41" s="198"/>
      <c r="R41" s="79"/>
      <c r="W41" s="25" t="s">
        <v>85</v>
      </c>
      <c r="X41" s="26"/>
      <c r="Y41" s="33"/>
      <c r="Z41" s="53">
        <f>Z34/Z40/1000</f>
        <v>7.045009784735812</v>
      </c>
      <c r="AA41" s="7"/>
      <c r="AB41"/>
      <c r="AC41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 customHeight="1">
      <c r="A42" s="1">
        <f t="shared" si="0"/>
        <v>42</v>
      </c>
      <c r="B42" s="102" t="s">
        <v>158</v>
      </c>
      <c r="C42" s="103">
        <f>C78</f>
        <v>2500000</v>
      </c>
      <c r="D42" s="104">
        <f t="shared" si="1"/>
        <v>4854.368932038835</v>
      </c>
      <c r="E42" s="105">
        <f t="shared" si="2"/>
        <v>13.299640909695437</v>
      </c>
      <c r="F42" s="106">
        <f>C78-E78</f>
        <v>1320000</v>
      </c>
      <c r="G42" s="110">
        <f t="shared" si="3"/>
        <v>0.472</v>
      </c>
      <c r="H42" s="103">
        <f>E78</f>
        <v>1180000</v>
      </c>
      <c r="I42" s="104">
        <f t="shared" si="4"/>
        <v>2291.26213592233</v>
      </c>
      <c r="J42" s="109">
        <f t="shared" si="5"/>
        <v>6.277430509376246</v>
      </c>
      <c r="K42" s="7"/>
      <c r="L42" s="7"/>
      <c r="M42" s="198"/>
      <c r="N42" s="198"/>
      <c r="O42" s="198"/>
      <c r="P42" s="198"/>
      <c r="Q42" s="198"/>
      <c r="R42" s="79"/>
      <c r="W42" s="25" t="s">
        <v>90</v>
      </c>
      <c r="X42" s="26"/>
      <c r="Y42" s="33"/>
      <c r="Z42" s="51" t="s">
        <v>93</v>
      </c>
      <c r="AA42" s="7"/>
      <c r="AB42"/>
      <c r="AC42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 customHeight="1">
      <c r="A43" s="1">
        <f t="shared" si="0"/>
        <v>43</v>
      </c>
      <c r="B43" s="102" t="s">
        <v>160</v>
      </c>
      <c r="C43" s="103">
        <f>C85</f>
        <v>211750.00000000003</v>
      </c>
      <c r="D43" s="104">
        <f t="shared" si="1"/>
        <v>411.16504854368935</v>
      </c>
      <c r="E43" s="105">
        <f t="shared" si="2"/>
        <v>1.1264795850512037</v>
      </c>
      <c r="F43" s="106">
        <f>C43-H43</f>
        <v>210175.00000000003</v>
      </c>
      <c r="G43" s="110">
        <f t="shared" si="3"/>
        <v>0.00743801652892562</v>
      </c>
      <c r="H43" s="103">
        <f>E85</f>
        <v>1575.0000000000002</v>
      </c>
      <c r="I43" s="104">
        <f t="shared" si="4"/>
        <v>3.0582524271844664</v>
      </c>
      <c r="J43" s="109">
        <f t="shared" si="5"/>
        <v>0.008378773773108127</v>
      </c>
      <c r="K43" s="7"/>
      <c r="L43" s="7"/>
      <c r="M43" s="198"/>
      <c r="N43" s="198"/>
      <c r="O43" s="198"/>
      <c r="P43" s="198"/>
      <c r="Q43" s="198"/>
      <c r="R43" s="79"/>
      <c r="W43" s="25" t="s">
        <v>96</v>
      </c>
      <c r="Y43" s="56"/>
      <c r="Z43" s="51" t="s">
        <v>91</v>
      </c>
      <c r="AA43" s="7"/>
      <c r="AB43"/>
      <c r="AC43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 customHeight="1">
      <c r="A44" s="1">
        <f t="shared" si="0"/>
        <v>44</v>
      </c>
      <c r="B44" s="102" t="s">
        <v>162</v>
      </c>
      <c r="C44" s="103">
        <f>C90</f>
        <v>75000</v>
      </c>
      <c r="D44" s="104">
        <f t="shared" si="1"/>
        <v>145.63106796116506</v>
      </c>
      <c r="E44" s="105">
        <f t="shared" si="2"/>
        <v>0.39898922729086317</v>
      </c>
      <c r="F44" s="106">
        <f>C44-H44</f>
        <v>11250</v>
      </c>
      <c r="G44" s="110">
        <f t="shared" si="3"/>
        <v>0.85</v>
      </c>
      <c r="H44" s="103">
        <f>E90</f>
        <v>63750</v>
      </c>
      <c r="I44" s="104">
        <f t="shared" si="4"/>
        <v>123.7864077669903</v>
      </c>
      <c r="J44" s="109">
        <f t="shared" si="5"/>
        <v>0.3391408431972337</v>
      </c>
      <c r="K44" s="7"/>
      <c r="L44" s="7"/>
      <c r="M44" s="198"/>
      <c r="N44" s="198"/>
      <c r="O44" s="198"/>
      <c r="P44" s="198"/>
      <c r="Q44" s="198"/>
      <c r="R44" s="79"/>
      <c r="W44" s="25" t="s">
        <v>103</v>
      </c>
      <c r="X44" s="26"/>
      <c r="Y44" s="33"/>
      <c r="Z44" s="51" t="s">
        <v>98</v>
      </c>
      <c r="AA44" s="7"/>
      <c r="AB44"/>
      <c r="AC44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 customHeight="1">
      <c r="A45" s="1">
        <f t="shared" si="0"/>
        <v>45</v>
      </c>
      <c r="B45" s="111" t="s">
        <v>165</v>
      </c>
      <c r="C45" s="112">
        <f>C92</f>
        <v>31250</v>
      </c>
      <c r="D45" s="113">
        <f t="shared" si="1"/>
        <v>60.679611650485434</v>
      </c>
      <c r="E45" s="114">
        <f t="shared" si="2"/>
        <v>0.16624551137119298</v>
      </c>
      <c r="F45" s="112">
        <f>C45-H45</f>
        <v>0</v>
      </c>
      <c r="G45" s="115">
        <f t="shared" si="3"/>
        <v>1</v>
      </c>
      <c r="H45" s="116">
        <f>E92</f>
        <v>31250</v>
      </c>
      <c r="I45" s="113">
        <f t="shared" si="4"/>
        <v>60.679611650485434</v>
      </c>
      <c r="J45" s="117">
        <f t="shared" si="5"/>
        <v>0.16624551137119298</v>
      </c>
      <c r="K45" s="7"/>
      <c r="L45" s="7"/>
      <c r="M45" s="198"/>
      <c r="N45" s="198"/>
      <c r="O45" s="198"/>
      <c r="P45" s="198"/>
      <c r="Q45" s="198"/>
      <c r="R45" s="79"/>
      <c r="W45" s="25" t="s">
        <v>107</v>
      </c>
      <c r="Y45" s="56"/>
      <c r="Z45" s="51" t="s">
        <v>100</v>
      </c>
      <c r="AA45" s="7"/>
      <c r="AB45"/>
      <c r="AC45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 customHeight="1" thickBot="1">
      <c r="A46" s="1">
        <f t="shared" si="0"/>
        <v>46</v>
      </c>
      <c r="B46" s="45" t="s">
        <v>168</v>
      </c>
      <c r="C46" s="118">
        <f>SUM(C38:C45)</f>
        <v>6238380</v>
      </c>
      <c r="D46" s="119">
        <f>SUM(D38:D45)</f>
        <v>12113.35922330097</v>
      </c>
      <c r="E46" s="120">
        <f>SUM(E38:E45)</f>
        <v>33.18728554329033</v>
      </c>
      <c r="F46" s="119">
        <f>SUM(F38:F45)</f>
        <v>2236837.133960241</v>
      </c>
      <c r="G46" s="121">
        <f>H46/C46</f>
        <v>0.6414394227411218</v>
      </c>
      <c r="H46" s="118">
        <f>SUM(H38:H45)</f>
        <v>4001542.866039759</v>
      </c>
      <c r="I46" s="118">
        <f>SUM(I38:I45)</f>
        <v>7769.986147650016</v>
      </c>
      <c r="J46" s="122">
        <f>SUM(J38:J45)</f>
        <v>21.287633281232925</v>
      </c>
      <c r="K46" s="7"/>
      <c r="L46" s="7"/>
      <c r="M46" s="198"/>
      <c r="N46" s="198"/>
      <c r="O46" s="198"/>
      <c r="P46" s="198"/>
      <c r="Q46" s="198"/>
      <c r="R46" s="79"/>
      <c r="W46" s="25" t="s">
        <v>109</v>
      </c>
      <c r="Y46" s="56"/>
      <c r="Z46" s="51" t="s">
        <v>101</v>
      </c>
      <c r="AA46" s="7"/>
      <c r="AB46"/>
      <c r="AC46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 customHeight="1" thickBot="1">
      <c r="A47" s="1">
        <f t="shared" si="0"/>
        <v>47</v>
      </c>
      <c r="B47" s="7"/>
      <c r="C47" s="7"/>
      <c r="D47" s="79"/>
      <c r="E47" s="7"/>
      <c r="F47" s="7"/>
      <c r="G47" s="7"/>
      <c r="H47" s="7"/>
      <c r="I47" s="7"/>
      <c r="J47" s="7"/>
      <c r="K47" s="7"/>
      <c r="L47" s="7"/>
      <c r="M47" s="198"/>
      <c r="N47" s="198"/>
      <c r="O47" s="198"/>
      <c r="P47" s="198"/>
      <c r="Q47" s="198"/>
      <c r="R47" s="79"/>
      <c r="W47" s="25" t="s">
        <v>104</v>
      </c>
      <c r="X47" s="26"/>
      <c r="Y47" s="33"/>
      <c r="Z47" s="51" t="s">
        <v>105</v>
      </c>
      <c r="AA47" s="7"/>
      <c r="AB47"/>
      <c r="AC47"/>
      <c r="AD4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30" ht="12.75" customHeight="1">
      <c r="A48" s="1">
        <f t="shared" si="0"/>
        <v>48</v>
      </c>
      <c r="B48" s="123" t="s">
        <v>171</v>
      </c>
      <c r="C48" s="124" t="s">
        <v>172</v>
      </c>
      <c r="D48" s="100" t="s">
        <v>148</v>
      </c>
      <c r="E48" s="125" t="s">
        <v>149</v>
      </c>
      <c r="F48" s="238" t="s">
        <v>311</v>
      </c>
      <c r="G48" s="239" t="s">
        <v>312</v>
      </c>
      <c r="H48" s="15" t="s">
        <v>173</v>
      </c>
      <c r="I48" s="16"/>
      <c r="J48" s="18"/>
      <c r="K48" s="7"/>
      <c r="L48" s="7"/>
      <c r="M48" s="198"/>
      <c r="N48" s="198"/>
      <c r="O48" s="198"/>
      <c r="P48" s="198"/>
      <c r="Q48" s="198"/>
      <c r="R48" s="79"/>
      <c r="W48" s="25" t="s">
        <v>113</v>
      </c>
      <c r="X48" s="26"/>
      <c r="Y48" s="33"/>
      <c r="Z48" s="41">
        <v>1</v>
      </c>
      <c r="AA48" s="7"/>
      <c r="AB48"/>
      <c r="AC48"/>
      <c r="AD48"/>
    </row>
    <row r="49" spans="1:30" ht="12.75" customHeight="1" thickBot="1">
      <c r="A49" s="1">
        <f t="shared" si="0"/>
        <v>49</v>
      </c>
      <c r="B49" s="67" t="s">
        <v>174</v>
      </c>
      <c r="C49" s="247">
        <v>1400880</v>
      </c>
      <c r="D49" s="267">
        <v>0.821826280623608</v>
      </c>
      <c r="E49" s="141">
        <f aca="true" t="shared" si="6" ref="E49:E57">C49*D49</f>
        <v>1151280</v>
      </c>
      <c r="F49" s="240">
        <v>16</v>
      </c>
      <c r="G49" s="241">
        <f>C49/F49</f>
        <v>87555</v>
      </c>
      <c r="H49" s="25" t="s">
        <v>175</v>
      </c>
      <c r="I49" s="81"/>
      <c r="J49" s="129">
        <v>150000</v>
      </c>
      <c r="K49" s="7"/>
      <c r="L49" s="7"/>
      <c r="M49" s="7"/>
      <c r="N49" s="7"/>
      <c r="O49" s="7"/>
      <c r="P49" s="7"/>
      <c r="Q49" s="130"/>
      <c r="R49" s="130"/>
      <c r="W49" s="67" t="s">
        <v>116</v>
      </c>
      <c r="X49" s="68"/>
      <c r="Y49" s="69"/>
      <c r="Z49" s="70" t="s">
        <v>67</v>
      </c>
      <c r="AA49" s="7"/>
      <c r="AB49"/>
      <c r="AC49"/>
      <c r="AD49"/>
    </row>
    <row r="50" spans="1:18" ht="12.75" customHeight="1">
      <c r="A50" s="1">
        <f t="shared" si="0"/>
        <v>50</v>
      </c>
      <c r="B50" s="123" t="s">
        <v>177</v>
      </c>
      <c r="C50" s="124" t="s">
        <v>172</v>
      </c>
      <c r="D50" s="100" t="s">
        <v>148</v>
      </c>
      <c r="E50" s="125" t="s">
        <v>149</v>
      </c>
      <c r="F50" s="242" t="s">
        <v>311</v>
      </c>
      <c r="G50" s="239" t="s">
        <v>312</v>
      </c>
      <c r="H50" s="25" t="s">
        <v>178</v>
      </c>
      <c r="I50" s="85"/>
      <c r="J50" s="129">
        <v>50000</v>
      </c>
      <c r="K50" s="7"/>
      <c r="L50" s="9"/>
      <c r="M50" s="132"/>
      <c r="N50" s="133"/>
      <c r="O50" s="132"/>
      <c r="P50" s="134"/>
      <c r="Q50" s="133"/>
      <c r="R50" s="133"/>
    </row>
    <row r="51" spans="1:18" ht="12.75" customHeight="1" thickBot="1">
      <c r="A51" s="1">
        <f t="shared" si="0"/>
        <v>51</v>
      </c>
      <c r="B51" s="138" t="s">
        <v>180</v>
      </c>
      <c r="C51" s="175">
        <v>364500</v>
      </c>
      <c r="D51" s="268">
        <v>0.8518518518518519</v>
      </c>
      <c r="E51" s="141">
        <f t="shared" si="6"/>
        <v>310500</v>
      </c>
      <c r="F51" s="240">
        <v>4</v>
      </c>
      <c r="G51" s="241">
        <f>C51/F51</f>
        <v>91125</v>
      </c>
      <c r="H51" s="25" t="s">
        <v>181</v>
      </c>
      <c r="I51" s="85"/>
      <c r="J51" s="129">
        <v>0</v>
      </c>
      <c r="K51" s="7"/>
      <c r="L51" s="9"/>
      <c r="M51" s="132"/>
      <c r="N51" s="133"/>
      <c r="O51" s="132"/>
      <c r="P51" s="134"/>
      <c r="Q51" s="133"/>
      <c r="R51" s="133"/>
    </row>
    <row r="52" spans="1:18" ht="12.75" customHeight="1">
      <c r="A52" s="1">
        <f t="shared" si="0"/>
        <v>52</v>
      </c>
      <c r="B52" s="25" t="s">
        <v>183</v>
      </c>
      <c r="C52" s="140">
        <v>20000</v>
      </c>
      <c r="D52" s="269">
        <v>0.821826280623608</v>
      </c>
      <c r="E52" s="141">
        <f t="shared" si="6"/>
        <v>16436.52561247216</v>
      </c>
      <c r="F52" s="7"/>
      <c r="H52" s="25" t="s">
        <v>184</v>
      </c>
      <c r="I52" s="85"/>
      <c r="J52" s="129">
        <v>5000</v>
      </c>
      <c r="K52" s="7"/>
      <c r="L52" s="9"/>
      <c r="M52" s="132"/>
      <c r="N52" s="133"/>
      <c r="O52" s="132"/>
      <c r="P52" s="134"/>
      <c r="Q52" s="133"/>
      <c r="R52" s="133"/>
    </row>
    <row r="53" spans="1:18" ht="12.75" customHeight="1">
      <c r="A53" s="1">
        <f t="shared" si="0"/>
        <v>53</v>
      </c>
      <c r="B53" s="25" t="s">
        <v>186</v>
      </c>
      <c r="C53" s="140">
        <v>50000</v>
      </c>
      <c r="D53" s="269">
        <v>0.75</v>
      </c>
      <c r="E53" s="141">
        <f t="shared" si="6"/>
        <v>37500</v>
      </c>
      <c r="F53" s="7"/>
      <c r="H53" s="25" t="s">
        <v>187</v>
      </c>
      <c r="I53" s="85"/>
      <c r="J53" s="129">
        <v>10000</v>
      </c>
      <c r="K53" s="7"/>
      <c r="L53" s="9"/>
      <c r="M53" s="132"/>
      <c r="N53" s="133"/>
      <c r="O53" s="132"/>
      <c r="P53" s="134"/>
      <c r="Q53" s="133"/>
      <c r="R53" s="133"/>
    </row>
    <row r="54" spans="1:18" ht="12.75" customHeight="1">
      <c r="A54" s="1">
        <f t="shared" si="0"/>
        <v>54</v>
      </c>
      <c r="B54" s="25" t="s">
        <v>189</v>
      </c>
      <c r="C54" s="140">
        <v>20000</v>
      </c>
      <c r="D54" s="269">
        <v>0.821826280623608</v>
      </c>
      <c r="E54" s="141">
        <f t="shared" si="6"/>
        <v>16436.52561247216</v>
      </c>
      <c r="F54" s="7"/>
      <c r="H54" s="25" t="s">
        <v>190</v>
      </c>
      <c r="I54" s="85"/>
      <c r="J54" s="129">
        <v>0</v>
      </c>
      <c r="K54" s="7"/>
      <c r="L54" s="9"/>
      <c r="M54" s="132"/>
      <c r="N54" s="133"/>
      <c r="O54" s="132"/>
      <c r="P54" s="134"/>
      <c r="Q54" s="133"/>
      <c r="R54" s="133"/>
    </row>
    <row r="55" spans="1:18" ht="12.75" customHeight="1">
      <c r="A55" s="1">
        <f t="shared" si="0"/>
        <v>55</v>
      </c>
      <c r="B55" s="25" t="s">
        <v>192</v>
      </c>
      <c r="C55" s="140">
        <v>10000</v>
      </c>
      <c r="D55" s="269">
        <v>0.8518518518518519</v>
      </c>
      <c r="E55" s="141">
        <f t="shared" si="6"/>
        <v>8518.518518518518</v>
      </c>
      <c r="F55" s="7"/>
      <c r="H55" s="25" t="s">
        <v>193</v>
      </c>
      <c r="I55" s="85"/>
      <c r="J55" s="129">
        <v>20000</v>
      </c>
      <c r="K55" s="7"/>
      <c r="L55" s="9"/>
      <c r="M55" s="132"/>
      <c r="N55" s="133"/>
      <c r="O55" s="132"/>
      <c r="P55" s="134"/>
      <c r="Q55" s="133"/>
      <c r="R55" s="133"/>
    </row>
    <row r="56" spans="1:18" ht="12.75" customHeight="1">
      <c r="A56" s="1">
        <f t="shared" si="0"/>
        <v>56</v>
      </c>
      <c r="B56" s="25" t="s">
        <v>195</v>
      </c>
      <c r="C56" s="140">
        <v>25000</v>
      </c>
      <c r="D56" s="269">
        <v>0.8518518518518519</v>
      </c>
      <c r="E56" s="141">
        <f t="shared" si="6"/>
        <v>21296.296296296296</v>
      </c>
      <c r="F56" s="7"/>
      <c r="H56" s="25" t="s">
        <v>196</v>
      </c>
      <c r="I56" s="85"/>
      <c r="J56" s="129">
        <v>5000</v>
      </c>
      <c r="K56" s="7"/>
      <c r="L56" s="9"/>
      <c r="M56" s="132"/>
      <c r="N56" s="133"/>
      <c r="O56" s="132"/>
      <c r="P56" s="134"/>
      <c r="Q56" s="133"/>
      <c r="R56" s="133"/>
    </row>
    <row r="57" spans="1:18" ht="12.75" customHeight="1">
      <c r="A57" s="1">
        <f t="shared" si="0"/>
        <v>57</v>
      </c>
      <c r="B57" s="144" t="s">
        <v>198</v>
      </c>
      <c r="C57" s="145">
        <v>50000</v>
      </c>
      <c r="D57" s="270">
        <v>0.9</v>
      </c>
      <c r="E57" s="146">
        <f t="shared" si="6"/>
        <v>45000</v>
      </c>
      <c r="F57" s="7"/>
      <c r="H57" s="25" t="s">
        <v>199</v>
      </c>
      <c r="I57" s="85"/>
      <c r="J57" s="129">
        <v>5000</v>
      </c>
      <c r="K57" s="7"/>
      <c r="L57" s="9"/>
      <c r="M57" s="132"/>
      <c r="N57" s="133"/>
      <c r="O57" s="132"/>
      <c r="P57" s="134"/>
      <c r="Q57" s="133"/>
      <c r="R57" s="133"/>
    </row>
    <row r="58" spans="1:18" ht="12.75" customHeight="1" thickBot="1">
      <c r="A58" s="1">
        <f t="shared" si="0"/>
        <v>58</v>
      </c>
      <c r="B58" s="25" t="s">
        <v>168</v>
      </c>
      <c r="C58" s="147">
        <f>SUM(C51:C57)</f>
        <v>539500</v>
      </c>
      <c r="D58" s="271">
        <f>E58/C58</f>
        <v>0.8446485005370883</v>
      </c>
      <c r="E58" s="141">
        <f>SUM(E51:E57)</f>
        <v>455687.86603975913</v>
      </c>
      <c r="F58" s="7"/>
      <c r="H58" s="149" t="s">
        <v>200</v>
      </c>
      <c r="I58" s="33"/>
      <c r="J58" s="129">
        <v>5000</v>
      </c>
      <c r="K58" s="7"/>
      <c r="L58" s="9"/>
      <c r="M58" s="132"/>
      <c r="N58" s="133"/>
      <c r="O58" s="132"/>
      <c r="P58" s="134"/>
      <c r="Q58" s="133"/>
      <c r="R58" s="133"/>
    </row>
    <row r="59" spans="1:18" ht="12.75" customHeight="1">
      <c r="A59" s="1">
        <f t="shared" si="0"/>
        <v>59</v>
      </c>
      <c r="B59" s="123" t="s">
        <v>201</v>
      </c>
      <c r="C59" s="124" t="s">
        <v>172</v>
      </c>
      <c r="D59" s="100" t="s">
        <v>148</v>
      </c>
      <c r="E59" s="125" t="s">
        <v>149</v>
      </c>
      <c r="F59" s="7"/>
      <c r="H59" s="150" t="s">
        <v>202</v>
      </c>
      <c r="I59" s="151"/>
      <c r="J59" s="152">
        <v>0</v>
      </c>
      <c r="K59" s="7"/>
      <c r="L59" s="9"/>
      <c r="M59" s="132"/>
      <c r="N59" s="133"/>
      <c r="O59" s="132"/>
      <c r="P59" s="134"/>
      <c r="Q59" s="133"/>
      <c r="R59" s="133"/>
    </row>
    <row r="60" spans="1:18" ht="12.75" customHeight="1">
      <c r="A60" s="1">
        <f t="shared" si="0"/>
        <v>60</v>
      </c>
      <c r="B60" s="25" t="s">
        <v>203</v>
      </c>
      <c r="C60" s="140">
        <v>500000</v>
      </c>
      <c r="D60" s="269">
        <v>0.9</v>
      </c>
      <c r="E60" s="141">
        <f>C60*D60</f>
        <v>450000</v>
      </c>
      <c r="F60" s="7"/>
      <c r="H60" s="153" t="s">
        <v>204</v>
      </c>
      <c r="I60" s="154"/>
      <c r="J60" s="155">
        <f>SUM(J49:J59)</f>
        <v>250000</v>
      </c>
      <c r="K60" s="7"/>
      <c r="L60" s="9"/>
      <c r="M60" s="26"/>
      <c r="N60" s="79"/>
      <c r="O60" s="26"/>
      <c r="P60" s="156"/>
      <c r="Q60" s="79"/>
      <c r="R60" s="79"/>
    </row>
    <row r="61" spans="1:18" ht="12.75" customHeight="1">
      <c r="A61" s="1">
        <f t="shared" si="0"/>
        <v>61</v>
      </c>
      <c r="B61" s="25" t="s">
        <v>205</v>
      </c>
      <c r="C61" s="140">
        <v>150000</v>
      </c>
      <c r="D61" s="269">
        <v>0.9</v>
      </c>
      <c r="E61" s="141">
        <f>C61*D61</f>
        <v>135000</v>
      </c>
      <c r="F61" s="7"/>
      <c r="H61" s="25" t="s">
        <v>106</v>
      </c>
      <c r="I61" s="26"/>
      <c r="J61" s="157">
        <f>C22</f>
        <v>4</v>
      </c>
      <c r="K61" s="7"/>
      <c r="L61" s="9"/>
      <c r="M61" s="26"/>
      <c r="N61" s="79"/>
      <c r="O61" s="26"/>
      <c r="P61" s="156"/>
      <c r="Q61" s="79"/>
      <c r="R61" s="79"/>
    </row>
    <row r="62" spans="1:18" ht="12.75" customHeight="1">
      <c r="A62" s="1">
        <f t="shared" si="0"/>
        <v>62</v>
      </c>
      <c r="B62" s="25" t="s">
        <v>206</v>
      </c>
      <c r="C62" s="140">
        <v>10000</v>
      </c>
      <c r="D62" s="269">
        <v>0.9</v>
      </c>
      <c r="E62" s="141">
        <f>C62*D62</f>
        <v>9000</v>
      </c>
      <c r="F62" s="7"/>
      <c r="H62" s="25" t="s">
        <v>207</v>
      </c>
      <c r="I62" s="26"/>
      <c r="J62" s="158">
        <v>20</v>
      </c>
      <c r="K62" s="7"/>
      <c r="L62" s="9"/>
      <c r="M62" s="26"/>
      <c r="N62" s="79"/>
      <c r="O62" s="26"/>
      <c r="P62" s="156"/>
      <c r="Q62" s="79"/>
      <c r="R62" s="79"/>
    </row>
    <row r="63" spans="1:18" ht="12.75" customHeight="1">
      <c r="A63" s="1">
        <f t="shared" si="0"/>
        <v>63</v>
      </c>
      <c r="B63" s="144" t="s">
        <v>208</v>
      </c>
      <c r="C63" s="145">
        <v>25000</v>
      </c>
      <c r="D63" s="270">
        <v>0.9</v>
      </c>
      <c r="E63" s="146">
        <f>C63*D63</f>
        <v>22500</v>
      </c>
      <c r="F63" s="7"/>
      <c r="H63" s="144" t="s">
        <v>209</v>
      </c>
      <c r="I63" s="159"/>
      <c r="J63" s="160">
        <f>IF(J62=I66,J66,IF(J62=I67,J67,IF(J62=I68,J68,IF(J62=I69,J69,IF(J62=I70,J70,J71)))))</f>
        <v>0.125</v>
      </c>
      <c r="K63" s="7"/>
      <c r="L63" s="9"/>
      <c r="M63" s="26"/>
      <c r="N63" s="79"/>
      <c r="O63" s="26"/>
      <c r="P63" s="156"/>
      <c r="Q63" s="79"/>
      <c r="R63" s="79"/>
    </row>
    <row r="64" spans="1:18" ht="12.75" customHeight="1" thickBot="1">
      <c r="A64" s="1">
        <f t="shared" si="0"/>
        <v>64</v>
      </c>
      <c r="B64" s="25" t="s">
        <v>168</v>
      </c>
      <c r="C64" s="147">
        <f>SUM(C60:C63)</f>
        <v>685000</v>
      </c>
      <c r="D64" s="271">
        <f>E64/C64</f>
        <v>0.9</v>
      </c>
      <c r="E64" s="141">
        <f>SUM(E60:E63)</f>
        <v>616500</v>
      </c>
      <c r="F64" s="7"/>
      <c r="H64" s="161" t="s">
        <v>210</v>
      </c>
      <c r="I64" s="162"/>
      <c r="J64" s="163">
        <f>J60*J63</f>
        <v>31250</v>
      </c>
      <c r="K64" s="7"/>
      <c r="L64" s="9"/>
      <c r="M64" s="26"/>
      <c r="N64" s="79"/>
      <c r="O64" s="26"/>
      <c r="P64" s="156"/>
      <c r="Q64" s="79"/>
      <c r="R64" s="79"/>
    </row>
    <row r="65" spans="1:18" ht="38.25" customHeight="1">
      <c r="A65" s="1">
        <f t="shared" si="0"/>
        <v>65</v>
      </c>
      <c r="B65" s="123" t="s">
        <v>211</v>
      </c>
      <c r="C65" s="124" t="s">
        <v>172</v>
      </c>
      <c r="D65" s="100" t="s">
        <v>148</v>
      </c>
      <c r="E65" s="125" t="s">
        <v>149</v>
      </c>
      <c r="F65" s="7"/>
      <c r="G65" s="7"/>
      <c r="H65" s="164" t="s">
        <v>212</v>
      </c>
      <c r="I65" s="165" t="s">
        <v>213</v>
      </c>
      <c r="J65" s="166" t="s">
        <v>214</v>
      </c>
      <c r="K65" s="7"/>
      <c r="L65" s="9"/>
      <c r="M65" s="26"/>
      <c r="N65" s="79"/>
      <c r="O65" s="26"/>
      <c r="P65" s="156"/>
      <c r="Q65" s="79"/>
      <c r="R65" s="79"/>
    </row>
    <row r="66" spans="1:18" ht="12.75" customHeight="1">
      <c r="A66" s="1">
        <f aca="true" t="shared" si="7" ref="A66:A92">A65+1</f>
        <v>66</v>
      </c>
      <c r="B66" s="25" t="s">
        <v>215</v>
      </c>
      <c r="C66" s="140">
        <v>200000</v>
      </c>
      <c r="D66" s="269">
        <v>0.9</v>
      </c>
      <c r="E66" s="141">
        <f aca="true" t="shared" si="8" ref="E66:E71">C66*D66</f>
        <v>180000</v>
      </c>
      <c r="F66" s="7"/>
      <c r="G66" s="7"/>
      <c r="H66" s="167" t="s">
        <v>216</v>
      </c>
      <c r="I66" s="168">
        <v>20</v>
      </c>
      <c r="J66" s="169">
        <v>0.125</v>
      </c>
      <c r="K66" s="7"/>
      <c r="L66" s="9"/>
      <c r="M66" s="26"/>
      <c r="N66" s="79"/>
      <c r="O66" s="26"/>
      <c r="P66" s="156"/>
      <c r="Q66" s="79"/>
      <c r="R66" s="79"/>
    </row>
    <row r="67" spans="1:18" ht="12.75" customHeight="1">
      <c r="A67" s="1">
        <f t="shared" si="7"/>
        <v>67</v>
      </c>
      <c r="B67" s="25" t="s">
        <v>217</v>
      </c>
      <c r="C67" s="140">
        <v>10000</v>
      </c>
      <c r="D67" s="269">
        <v>0.9</v>
      </c>
      <c r="E67" s="141">
        <f t="shared" si="8"/>
        <v>9000</v>
      </c>
      <c r="F67" s="7"/>
      <c r="G67" s="7"/>
      <c r="H67" s="167" t="s">
        <v>218</v>
      </c>
      <c r="I67" s="168">
        <v>15</v>
      </c>
      <c r="J67" s="169">
        <v>0.146</v>
      </c>
      <c r="K67" s="7"/>
      <c r="L67" s="9"/>
      <c r="M67" s="26"/>
      <c r="N67" s="79"/>
      <c r="O67" s="26"/>
      <c r="P67" s="156"/>
      <c r="Q67" s="79"/>
      <c r="R67" s="79"/>
    </row>
    <row r="68" spans="1:18" ht="12.75" customHeight="1">
      <c r="A68" s="1">
        <f t="shared" si="7"/>
        <v>68</v>
      </c>
      <c r="B68" s="25" t="s">
        <v>219</v>
      </c>
      <c r="C68" s="140">
        <v>10000</v>
      </c>
      <c r="D68" s="269">
        <v>0.5</v>
      </c>
      <c r="E68" s="141">
        <f t="shared" si="8"/>
        <v>5000</v>
      </c>
      <c r="F68" s="7"/>
      <c r="G68" s="7"/>
      <c r="H68" s="167" t="s">
        <v>220</v>
      </c>
      <c r="I68" s="168">
        <v>10</v>
      </c>
      <c r="J68" s="169">
        <v>0.198</v>
      </c>
      <c r="K68" s="7"/>
      <c r="L68" s="9"/>
      <c r="M68" s="26"/>
      <c r="N68" s="79"/>
      <c r="O68" s="26"/>
      <c r="P68" s="156"/>
      <c r="Q68" s="79"/>
      <c r="R68" s="79"/>
    </row>
    <row r="69" spans="1:18" ht="12.75" customHeight="1">
      <c r="A69" s="1">
        <f t="shared" si="7"/>
        <v>69</v>
      </c>
      <c r="B69" s="25" t="s">
        <v>221</v>
      </c>
      <c r="C69" s="140">
        <v>25000</v>
      </c>
      <c r="D69" s="269">
        <v>0.5</v>
      </c>
      <c r="E69" s="141">
        <f t="shared" si="8"/>
        <v>12500</v>
      </c>
      <c r="F69" s="7"/>
      <c r="G69" s="7"/>
      <c r="H69" s="167" t="s">
        <v>222</v>
      </c>
      <c r="I69" s="168">
        <v>5</v>
      </c>
      <c r="J69" s="169">
        <v>0.363</v>
      </c>
      <c r="K69" s="7"/>
      <c r="L69" s="9"/>
      <c r="M69" s="26"/>
      <c r="N69" s="79"/>
      <c r="O69" s="26"/>
      <c r="P69" s="156"/>
      <c r="Q69" s="79"/>
      <c r="R69" s="79"/>
    </row>
    <row r="70" spans="1:18" ht="12.75" customHeight="1">
      <c r="A70" s="1">
        <f t="shared" si="7"/>
        <v>70</v>
      </c>
      <c r="B70" s="25" t="s">
        <v>223</v>
      </c>
      <c r="C70" s="140">
        <v>500000</v>
      </c>
      <c r="D70" s="269">
        <v>0.5</v>
      </c>
      <c r="E70" s="141">
        <f t="shared" si="8"/>
        <v>250000</v>
      </c>
      <c r="F70" s="7"/>
      <c r="G70" s="7"/>
      <c r="H70" s="167" t="s">
        <v>224</v>
      </c>
      <c r="I70" s="168">
        <v>4</v>
      </c>
      <c r="J70" s="170">
        <v>0.45</v>
      </c>
      <c r="K70" s="7"/>
      <c r="L70" s="9"/>
      <c r="M70" s="26"/>
      <c r="N70" s="79"/>
      <c r="O70" s="26"/>
      <c r="P70" s="156"/>
      <c r="Q70" s="79"/>
      <c r="R70" s="79"/>
    </row>
    <row r="71" spans="1:18" ht="12.75" customHeight="1" thickBot="1">
      <c r="A71" s="1">
        <f t="shared" si="7"/>
        <v>71</v>
      </c>
      <c r="B71" s="144" t="s">
        <v>225</v>
      </c>
      <c r="C71" s="145">
        <v>50000</v>
      </c>
      <c r="D71" s="270">
        <v>0.9</v>
      </c>
      <c r="E71" s="146">
        <f t="shared" si="8"/>
        <v>45000</v>
      </c>
      <c r="F71" s="7"/>
      <c r="G71" s="7"/>
      <c r="H71" s="171" t="s">
        <v>226</v>
      </c>
      <c r="I71" s="172">
        <v>1</v>
      </c>
      <c r="J71" s="173">
        <v>1.1</v>
      </c>
      <c r="K71" s="7"/>
      <c r="L71" s="9"/>
      <c r="M71" s="26"/>
      <c r="N71" s="79"/>
      <c r="O71" s="26"/>
      <c r="P71" s="156"/>
      <c r="Q71" s="79"/>
      <c r="R71" s="79"/>
    </row>
    <row r="72" spans="1:18" ht="12.75" customHeight="1" thickBot="1">
      <c r="A72" s="1">
        <f t="shared" si="7"/>
        <v>72</v>
      </c>
      <c r="B72" s="25" t="s">
        <v>168</v>
      </c>
      <c r="C72" s="147">
        <f>SUM(C66:C71)</f>
        <v>795000</v>
      </c>
      <c r="D72" s="271">
        <f>E72/C72</f>
        <v>0.630817610062893</v>
      </c>
      <c r="E72" s="141">
        <f>SUM(E66:E71)</f>
        <v>501500</v>
      </c>
      <c r="F72" s="7"/>
      <c r="G72" s="7"/>
      <c r="H72" s="174"/>
      <c r="I72" s="79"/>
      <c r="J72" s="7"/>
      <c r="K72" s="7"/>
      <c r="L72" s="9"/>
      <c r="M72" s="26"/>
      <c r="N72" s="79"/>
      <c r="O72" s="26"/>
      <c r="P72" s="156"/>
      <c r="Q72" s="79"/>
      <c r="R72" s="79"/>
    </row>
    <row r="73" spans="1:18" ht="12.75" customHeight="1">
      <c r="A73" s="1">
        <f t="shared" si="7"/>
        <v>73</v>
      </c>
      <c r="B73" s="123" t="s">
        <v>227</v>
      </c>
      <c r="C73" s="124" t="s">
        <v>172</v>
      </c>
      <c r="D73" s="100" t="s">
        <v>148</v>
      </c>
      <c r="E73" s="125" t="s">
        <v>149</v>
      </c>
      <c r="F73" s="7"/>
      <c r="H73" s="15" t="s">
        <v>228</v>
      </c>
      <c r="I73" s="16"/>
      <c r="J73" s="18"/>
      <c r="K73" s="7"/>
      <c r="L73" s="9"/>
      <c r="M73" s="26"/>
      <c r="N73" s="79"/>
      <c r="O73" s="26"/>
      <c r="P73" s="156"/>
      <c r="Q73" s="79"/>
      <c r="R73" s="79"/>
    </row>
    <row r="74" spans="1:18" ht="12.75" customHeight="1">
      <c r="A74" s="1">
        <f t="shared" si="7"/>
        <v>74</v>
      </c>
      <c r="B74" s="25" t="s">
        <v>229</v>
      </c>
      <c r="C74" s="175">
        <v>1800000</v>
      </c>
      <c r="D74" s="269">
        <v>0.6</v>
      </c>
      <c r="E74" s="141">
        <f>C74*D74</f>
        <v>1080000</v>
      </c>
      <c r="F74" s="7"/>
      <c r="H74" s="25" t="s">
        <v>230</v>
      </c>
      <c r="I74" s="26"/>
      <c r="J74" s="28">
        <v>0</v>
      </c>
      <c r="K74" s="7"/>
      <c r="L74" s="9"/>
      <c r="M74" s="26"/>
      <c r="N74" s="79"/>
      <c r="O74" s="26"/>
      <c r="P74" s="156"/>
      <c r="Q74" s="79"/>
      <c r="R74" s="79"/>
    </row>
    <row r="75" spans="1:18" ht="12.75" customHeight="1">
      <c r="A75" s="1">
        <f t="shared" si="7"/>
        <v>75</v>
      </c>
      <c r="B75" s="25" t="s">
        <v>231</v>
      </c>
      <c r="C75" s="176">
        <v>100000</v>
      </c>
      <c r="D75" s="269">
        <v>0.75</v>
      </c>
      <c r="E75" s="141">
        <f>C75*D75</f>
        <v>75000</v>
      </c>
      <c r="F75" s="7"/>
      <c r="H75" s="25" t="s">
        <v>232</v>
      </c>
      <c r="I75" s="26"/>
      <c r="J75" s="50">
        <v>141000</v>
      </c>
      <c r="K75" s="7"/>
      <c r="L75" s="9"/>
      <c r="M75" s="26"/>
      <c r="N75" s="79"/>
      <c r="O75" s="26"/>
      <c r="P75" s="156"/>
      <c r="Q75" s="79"/>
      <c r="R75" s="79"/>
    </row>
    <row r="76" spans="1:18" ht="12.75" customHeight="1">
      <c r="A76" s="1">
        <f t="shared" si="7"/>
        <v>76</v>
      </c>
      <c r="B76" s="25" t="s">
        <v>233</v>
      </c>
      <c r="C76" s="176">
        <v>100000</v>
      </c>
      <c r="D76" s="269">
        <v>0.25</v>
      </c>
      <c r="E76" s="141">
        <f>C76*D76</f>
        <v>25000</v>
      </c>
      <c r="F76" s="7"/>
      <c r="H76" s="25" t="s">
        <v>234</v>
      </c>
      <c r="I76" s="26"/>
      <c r="J76" s="177">
        <f>C23*C26*1000/J75</f>
        <v>25750</v>
      </c>
      <c r="K76" s="7"/>
      <c r="L76" s="9"/>
      <c r="M76" s="26"/>
      <c r="N76" s="79"/>
      <c r="O76" s="26"/>
      <c r="P76" s="156"/>
      <c r="Q76" s="79"/>
      <c r="R76" s="79"/>
    </row>
    <row r="77" spans="1:18" ht="12.75" customHeight="1">
      <c r="A77" s="1">
        <f t="shared" si="7"/>
        <v>77</v>
      </c>
      <c r="B77" s="144" t="s">
        <v>235</v>
      </c>
      <c r="C77" s="145">
        <v>500000</v>
      </c>
      <c r="D77" s="270">
        <v>0</v>
      </c>
      <c r="E77" s="146">
        <f>C77*D77</f>
        <v>0</v>
      </c>
      <c r="F77" s="7"/>
      <c r="H77" s="25" t="s">
        <v>236</v>
      </c>
      <c r="I77" s="26"/>
      <c r="J77" s="177">
        <f>J76*J74*24</f>
        <v>0</v>
      </c>
      <c r="K77" s="7"/>
      <c r="L77" s="9"/>
      <c r="M77" s="26"/>
      <c r="N77" s="79"/>
      <c r="O77" s="26"/>
      <c r="P77" s="156"/>
      <c r="Q77" s="79"/>
      <c r="R77" s="79"/>
    </row>
    <row r="78" spans="1:18" ht="12.75" customHeight="1" thickBot="1">
      <c r="A78" s="1">
        <f t="shared" si="7"/>
        <v>78</v>
      </c>
      <c r="B78" s="178" t="s">
        <v>168</v>
      </c>
      <c r="C78" s="119">
        <f>SUM(C74:C77)</f>
        <v>2500000</v>
      </c>
      <c r="D78" s="271">
        <f>E78/C78</f>
        <v>0.472</v>
      </c>
      <c r="E78" s="179">
        <f>SUM(E74:E77)</f>
        <v>1180000</v>
      </c>
      <c r="F78" s="7"/>
      <c r="H78" s="67" t="s">
        <v>237</v>
      </c>
      <c r="I78" s="68"/>
      <c r="J78" s="180">
        <v>1.82</v>
      </c>
      <c r="K78" s="7"/>
      <c r="L78" s="9"/>
      <c r="M78" s="26"/>
      <c r="N78" s="79"/>
      <c r="O78" s="26"/>
      <c r="P78" s="156"/>
      <c r="Q78" s="79"/>
      <c r="R78" s="79"/>
    </row>
    <row r="79" spans="1:18" ht="12.75" customHeight="1">
      <c r="A79" s="1">
        <f t="shared" si="7"/>
        <v>79</v>
      </c>
      <c r="B79" s="123" t="s">
        <v>238</v>
      </c>
      <c r="C79" s="124" t="s">
        <v>172</v>
      </c>
      <c r="D79" s="100" t="s">
        <v>148</v>
      </c>
      <c r="E79" s="125" t="s">
        <v>149</v>
      </c>
      <c r="F79" s="7"/>
      <c r="H79" s="15" t="s">
        <v>239</v>
      </c>
      <c r="I79" s="16"/>
      <c r="J79" s="18"/>
      <c r="K79" s="7"/>
      <c r="L79" s="9"/>
      <c r="M79" s="26"/>
      <c r="N79" s="79"/>
      <c r="O79" s="26"/>
      <c r="P79" s="156"/>
      <c r="Q79" s="79"/>
      <c r="R79" s="79"/>
    </row>
    <row r="80" spans="1:18" ht="12.75" customHeight="1">
      <c r="A80" s="1">
        <f t="shared" si="7"/>
        <v>80</v>
      </c>
      <c r="B80" s="25" t="s">
        <v>240</v>
      </c>
      <c r="C80" s="175">
        <v>3000000</v>
      </c>
      <c r="D80" s="269">
        <v>0</v>
      </c>
      <c r="E80" s="141">
        <f>C80*D80</f>
        <v>0</v>
      </c>
      <c r="F80" s="7"/>
      <c r="H80" s="25" t="s">
        <v>230</v>
      </c>
      <c r="I80" s="26"/>
      <c r="J80" s="28">
        <v>0</v>
      </c>
      <c r="K80" s="7"/>
      <c r="L80" s="9"/>
      <c r="M80" s="26"/>
      <c r="N80" s="79"/>
      <c r="O80" s="26"/>
      <c r="P80" s="156"/>
      <c r="Q80" s="79"/>
      <c r="R80" s="79"/>
    </row>
    <row r="81" spans="1:18" ht="12.75" customHeight="1">
      <c r="A81" s="1">
        <f t="shared" si="7"/>
        <v>81</v>
      </c>
      <c r="B81" s="25" t="s">
        <v>241</v>
      </c>
      <c r="C81" s="181">
        <f>J77*J78+J83*J84</f>
        <v>0</v>
      </c>
      <c r="D81" s="269">
        <v>0.0999999999999998</v>
      </c>
      <c r="E81" s="141">
        <f>C81*D81</f>
        <v>0</v>
      </c>
      <c r="F81" s="7"/>
      <c r="H81" s="25" t="s">
        <v>242</v>
      </c>
      <c r="I81" s="26"/>
      <c r="J81" s="50">
        <v>12500</v>
      </c>
      <c r="K81" s="7"/>
      <c r="L81" s="9"/>
      <c r="M81" s="26"/>
      <c r="N81" s="79"/>
      <c r="O81" s="26"/>
      <c r="P81" s="156"/>
      <c r="Q81" s="79"/>
      <c r="R81" s="79"/>
    </row>
    <row r="82" spans="1:18" ht="12.75" customHeight="1">
      <c r="A82" s="1">
        <f t="shared" si="7"/>
        <v>82</v>
      </c>
      <c r="B82" s="144" t="s">
        <v>243</v>
      </c>
      <c r="C82" s="182">
        <v>25000</v>
      </c>
      <c r="D82" s="270">
        <v>0.9</v>
      </c>
      <c r="E82" s="146">
        <f>C82*D82</f>
        <v>22500</v>
      </c>
      <c r="F82" s="7"/>
      <c r="H82" s="25" t="s">
        <v>244</v>
      </c>
      <c r="I82" s="26"/>
      <c r="J82" s="183">
        <f>C26*C23*1000/J81/2000</f>
        <v>145.23</v>
      </c>
      <c r="K82" s="7"/>
      <c r="L82" s="9"/>
      <c r="M82" s="26"/>
      <c r="N82" s="79"/>
      <c r="O82" s="26"/>
      <c r="P82" s="156"/>
      <c r="Q82" s="79"/>
      <c r="R82" s="79"/>
    </row>
    <row r="83" spans="1:18" ht="12.75" customHeight="1">
      <c r="A83" s="1">
        <f t="shared" si="7"/>
        <v>83</v>
      </c>
      <c r="B83" s="184" t="s">
        <v>168</v>
      </c>
      <c r="C83" s="185">
        <f>SUM(C80:C82)</f>
        <v>3025000</v>
      </c>
      <c r="D83" s="271">
        <f>E83/C83</f>
        <v>0.00743801652892562</v>
      </c>
      <c r="E83" s="186">
        <f>SUM(E80:E82)</f>
        <v>22500</v>
      </c>
      <c r="F83" s="7"/>
      <c r="H83" s="25" t="s">
        <v>245</v>
      </c>
      <c r="I83" s="26"/>
      <c r="J83" s="177">
        <f>J82*J80*24</f>
        <v>0</v>
      </c>
      <c r="K83" s="7"/>
      <c r="L83" s="9"/>
      <c r="M83" s="26"/>
      <c r="N83" s="79"/>
      <c r="O83" s="26"/>
      <c r="P83" s="156"/>
      <c r="Q83" s="79"/>
      <c r="R83" s="79"/>
    </row>
    <row r="84" spans="1:18" ht="12.75" customHeight="1" thickBot="1">
      <c r="A84" s="1">
        <f t="shared" si="7"/>
        <v>84</v>
      </c>
      <c r="B84" s="187" t="s">
        <v>246</v>
      </c>
      <c r="C84" s="188">
        <v>0.07</v>
      </c>
      <c r="D84" s="189"/>
      <c r="E84" s="190"/>
      <c r="F84" s="7"/>
      <c r="H84" s="67" t="s">
        <v>247</v>
      </c>
      <c r="I84" s="68"/>
      <c r="J84" s="180">
        <v>51</v>
      </c>
      <c r="K84" s="7"/>
      <c r="L84" s="9"/>
      <c r="M84" s="26"/>
      <c r="N84" s="79"/>
      <c r="O84" s="26"/>
      <c r="P84" s="156"/>
      <c r="Q84" s="79"/>
      <c r="R84" s="79"/>
    </row>
    <row r="85" spans="1:18" ht="12.75" customHeight="1" thickBot="1">
      <c r="A85" s="1">
        <f t="shared" si="7"/>
        <v>85</v>
      </c>
      <c r="B85" s="191" t="s">
        <v>248</v>
      </c>
      <c r="C85" s="192">
        <f>$C$84*C83</f>
        <v>211750.00000000003</v>
      </c>
      <c r="D85" s="273">
        <f>E85/C85</f>
        <v>0.00743801652892562</v>
      </c>
      <c r="E85" s="194">
        <f>$C$84*E83</f>
        <v>1575.0000000000002</v>
      </c>
      <c r="F85" s="7"/>
      <c r="G85" s="7"/>
      <c r="H85" s="15" t="s">
        <v>249</v>
      </c>
      <c r="I85" s="16"/>
      <c r="J85" s="18"/>
      <c r="K85" s="7"/>
      <c r="L85" s="9"/>
      <c r="M85" s="26"/>
      <c r="N85" s="79"/>
      <c r="O85" s="26"/>
      <c r="P85" s="156"/>
      <c r="Q85" s="79"/>
      <c r="R85" s="79"/>
    </row>
    <row r="86" spans="1:18" ht="12.75" customHeight="1">
      <c r="A86" s="1">
        <f t="shared" si="7"/>
        <v>86</v>
      </c>
      <c r="B86" s="123" t="s">
        <v>250</v>
      </c>
      <c r="C86" s="124" t="s">
        <v>172</v>
      </c>
      <c r="D86" s="100" t="s">
        <v>148</v>
      </c>
      <c r="E86" s="125" t="s">
        <v>149</v>
      </c>
      <c r="F86" s="7"/>
      <c r="G86" s="7"/>
      <c r="H86" s="25" t="s">
        <v>251</v>
      </c>
      <c r="I86" s="26"/>
      <c r="J86" s="50">
        <v>137000</v>
      </c>
      <c r="K86" s="7"/>
      <c r="L86" s="9"/>
      <c r="M86" s="26"/>
      <c r="N86" s="79"/>
      <c r="O86" s="26"/>
      <c r="P86" s="156"/>
      <c r="Q86" s="79"/>
      <c r="R86" s="79"/>
    </row>
    <row r="87" spans="1:18" ht="12.75" customHeight="1">
      <c r="A87" s="1">
        <f t="shared" si="7"/>
        <v>87</v>
      </c>
      <c r="B87" s="25" t="s">
        <v>252</v>
      </c>
      <c r="C87" s="175">
        <v>25000</v>
      </c>
      <c r="D87" s="269">
        <v>0.9</v>
      </c>
      <c r="E87" s="141">
        <f>C87*D87</f>
        <v>22500</v>
      </c>
      <c r="F87" s="7"/>
      <c r="G87" s="7"/>
      <c r="H87" s="25" t="s">
        <v>14</v>
      </c>
      <c r="I87" s="26"/>
      <c r="J87" s="50">
        <v>141000</v>
      </c>
      <c r="K87" s="7"/>
      <c r="L87" s="9"/>
      <c r="M87" s="26"/>
      <c r="N87" s="79"/>
      <c r="O87" s="26"/>
      <c r="P87" s="156"/>
      <c r="Q87" s="79"/>
      <c r="R87" s="79"/>
    </row>
    <row r="88" spans="1:18" ht="12.75" customHeight="1" thickBot="1">
      <c r="A88" s="1">
        <f t="shared" si="7"/>
        <v>88</v>
      </c>
      <c r="B88" s="25" t="s">
        <v>253</v>
      </c>
      <c r="C88" s="176">
        <v>25000</v>
      </c>
      <c r="D88" s="269">
        <v>0.75</v>
      </c>
      <c r="E88" s="141">
        <f>C88*D88</f>
        <v>18750</v>
      </c>
      <c r="F88" s="7"/>
      <c r="G88" s="7"/>
      <c r="H88" s="67" t="s">
        <v>15</v>
      </c>
      <c r="I88" s="135"/>
      <c r="J88" s="195">
        <v>150000</v>
      </c>
      <c r="K88" s="7"/>
      <c r="L88" s="9"/>
      <c r="M88" s="26"/>
      <c r="N88" s="79"/>
      <c r="O88" s="26"/>
      <c r="P88" s="156"/>
      <c r="Q88" s="79"/>
      <c r="R88" s="79"/>
    </row>
    <row r="89" spans="1:18" ht="12.75" customHeight="1">
      <c r="A89" s="1">
        <f t="shared" si="7"/>
        <v>89</v>
      </c>
      <c r="B89" s="144" t="s">
        <v>254</v>
      </c>
      <c r="C89" s="182">
        <v>25000</v>
      </c>
      <c r="D89" s="269">
        <v>0.9</v>
      </c>
      <c r="E89" s="146">
        <f>C89*D89</f>
        <v>22500</v>
      </c>
      <c r="F89" s="7"/>
      <c r="G89" s="7"/>
      <c r="H89" s="79"/>
      <c r="I89" s="79"/>
      <c r="J89" s="79"/>
      <c r="K89" s="7"/>
      <c r="L89" s="9"/>
      <c r="M89" s="26"/>
      <c r="N89" s="79"/>
      <c r="O89" s="26"/>
      <c r="P89" s="156"/>
      <c r="Q89" s="79"/>
      <c r="R89" s="79"/>
    </row>
    <row r="90" spans="1:18" ht="13.5" thickBot="1">
      <c r="A90" s="1">
        <f t="shared" si="7"/>
        <v>90</v>
      </c>
      <c r="B90" s="196" t="s">
        <v>168</v>
      </c>
      <c r="C90" s="197">
        <f>SUM(C87:C89)</f>
        <v>75000</v>
      </c>
      <c r="D90" s="272">
        <f>E90/C90</f>
        <v>0.85</v>
      </c>
      <c r="E90" s="139">
        <f>SUM(E87:E89)</f>
        <v>63750</v>
      </c>
      <c r="F90" s="7"/>
      <c r="G90" s="7"/>
      <c r="H90" s="7"/>
      <c r="I90" s="7"/>
      <c r="J90" s="7"/>
      <c r="K90" s="198"/>
      <c r="L90" s="7"/>
      <c r="M90" s="7"/>
      <c r="N90" s="7"/>
      <c r="O90" s="7"/>
      <c r="P90" s="7"/>
      <c r="Q90" s="79"/>
      <c r="R90" s="79"/>
    </row>
    <row r="91" spans="1:18" ht="12.75">
      <c r="A91" s="1">
        <f t="shared" si="7"/>
        <v>91</v>
      </c>
      <c r="B91" s="123" t="s">
        <v>255</v>
      </c>
      <c r="C91" s="124" t="s">
        <v>172</v>
      </c>
      <c r="D91" s="100" t="s">
        <v>148</v>
      </c>
      <c r="E91" s="125" t="s">
        <v>149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9"/>
      <c r="R91" s="79"/>
    </row>
    <row r="92" spans="1:18" ht="13.5" thickBot="1">
      <c r="A92" s="1">
        <f t="shared" si="7"/>
        <v>92</v>
      </c>
      <c r="B92" s="161" t="s">
        <v>210</v>
      </c>
      <c r="C92" s="127">
        <f>J64</f>
        <v>31250</v>
      </c>
      <c r="D92" s="267">
        <v>1</v>
      </c>
      <c r="E92" s="128">
        <f>C92*D92</f>
        <v>31250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9"/>
      <c r="R92" s="79"/>
    </row>
  </sheetData>
  <dataValidations count="22">
    <dataValidation type="list" allowBlank="1" showInputMessage="1" showErrorMessage="1" sqref="AD30 AD33 Z39 I14">
      <formula1>$X$12:$AF$12</formula1>
    </dataValidation>
    <dataValidation type="list" allowBlank="1" showInputMessage="1" showErrorMessage="1" sqref="Z49 I24">
      <formula1>$X$15:$AD$15</formula1>
    </dataValidation>
    <dataValidation type="list" allowBlank="1" showInputMessage="1" showErrorMessage="1" sqref="Z30">
      <formula1>$X$7:$AF$7</formula1>
    </dataValidation>
    <dataValidation type="list" allowBlank="1" showInputMessage="1" showErrorMessage="1" sqref="Z31">
      <formula1>$X$9:$AB$9</formula1>
    </dataValidation>
    <dataValidation type="list" allowBlank="1" showInputMessage="1" showErrorMessage="1" sqref="Z32">
      <formula1>$X$17:$AC$17</formula1>
    </dataValidation>
    <dataValidation type="list" allowBlank="1" showInputMessage="1" showErrorMessage="1" sqref="Z33">
      <formula1>$X$18:$AC$18</formula1>
    </dataValidation>
    <dataValidation type="list" allowBlank="1" showInputMessage="1" showErrorMessage="1" sqref="Z42:Z43">
      <formula1>$X$19:$AE$19</formula1>
    </dataValidation>
    <dataValidation type="list" allowBlank="1" showInputMessage="1" showErrorMessage="1" sqref="Z44:Z46">
      <formula1>$X$20:$AD$20</formula1>
    </dataValidation>
    <dataValidation type="list" allowBlank="1" showInputMessage="1" showErrorMessage="1" sqref="Z47">
      <formula1>$X$21:$AB$21</formula1>
    </dataValidation>
    <dataValidation type="list" allowBlank="1" showInputMessage="1" showErrorMessage="1" sqref="C6">
      <formula1>$C$7:$C$14</formula1>
    </dataValidation>
    <dataValidation type="list" allowBlank="1" showInputMessage="1" showErrorMessage="1" sqref="J62">
      <formula1>$I$66:$I$71</formula1>
    </dataValidation>
    <dataValidation type="list" allowBlank="1" showInputMessage="1" showErrorMessage="1" sqref="I7">
      <formula1>$X$7:$AA$7</formula1>
    </dataValidation>
    <dataValidation type="list" allowBlank="1" showInputMessage="1" showErrorMessage="1" sqref="I8">
      <formula1>$X$8:$AA$8</formula1>
    </dataValidation>
    <dataValidation type="list" allowBlank="1" showInputMessage="1" showErrorMessage="1" sqref="I9">
      <formula1>$X$10:$Z$10</formula1>
    </dataValidation>
    <dataValidation type="list" allowBlank="1" showInputMessage="1" showErrorMessage="1" sqref="I10">
      <formula1>$X$11:$AF$11</formula1>
    </dataValidation>
    <dataValidation type="list" allowBlank="1" showInputMessage="1" showErrorMessage="1" sqref="I18">
      <formula1>$X$13:$AC$13</formula1>
    </dataValidation>
    <dataValidation type="list" allowBlank="1" showInputMessage="1" showErrorMessage="1" sqref="I19">
      <formula1>$X$14:$AD$14</formula1>
    </dataValidation>
    <dataValidation type="list" allowBlank="1" showInputMessage="1" showErrorMessage="1" sqref="I25">
      <formula1>$X$16:$AE$16</formula1>
    </dataValidation>
    <dataValidation type="list" allowBlank="1" showInputMessage="1" showErrorMessage="1" sqref="J75">
      <formula1>$J$86:$J$88</formula1>
    </dataValidation>
    <dataValidation allowBlank="1" showInputMessage="1" showErrorMessage="1" prompt="Provide justification for opportunity cost." sqref="N10"/>
    <dataValidation type="list" allowBlank="1" showInputMessage="1" showErrorMessage="1" prompt="For input by participant for information purposes only.Not required for template upload." sqref="C17">
      <formula1>$W$24:$W$28</formula1>
    </dataValidation>
    <dataValidation allowBlank="1" showInputMessage="1" showErrorMessage="1" prompt="For input by participant for information purposes only.Not required for template upload." sqref="C16 C18:C19"/>
  </dataValidations>
  <printOptions gridLines="1" horizontalCentered="1"/>
  <pageMargins left="0" right="0" top="0.25" bottom="0.25" header="0.25" footer="0"/>
  <pageSetup fitToHeight="1" fitToWidth="1" horizontalDpi="600" verticalDpi="600" orientation="landscape" scale="4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M. Pasteris</dc:creator>
  <cp:keywords/>
  <dc:description/>
  <cp:lastModifiedBy>Frank Racioppi</cp:lastModifiedBy>
  <cp:lastPrinted>2007-02-02T15:44:31Z</cp:lastPrinted>
  <dcterms:created xsi:type="dcterms:W3CDTF">2006-11-15T16:33:57Z</dcterms:created>
  <dcterms:modified xsi:type="dcterms:W3CDTF">2007-02-02T18:09:08Z</dcterms:modified>
  <cp:category/>
  <cp:version/>
  <cp:contentType/>
  <cp:contentStatus/>
</cp:coreProperties>
</file>